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2735" activeTab="0"/>
  </bookViews>
  <sheets>
    <sheet name="Silver£" sheetId="1" r:id="rId1"/>
    <sheet name="Gold£" sheetId="2" r:id="rId2"/>
    <sheet name="MintOutputs1" sheetId="3" r:id="rId3"/>
    <sheet name="MintOutputs1A" sheetId="4" r:id="rId4"/>
    <sheet name="MIntOutputs1B" sheetId="5" r:id="rId5"/>
    <sheet name="MintOutputs2" sheetId="6" r:id="rId6"/>
    <sheet name="MintOutputs3" sheetId="7" r:id="rId7"/>
    <sheet name="MintOutputs4" sheetId="8" r:id="rId8"/>
    <sheet name="MintOutputs5" sheetId="9" r:id="rId9"/>
    <sheet name="Sterl5" sheetId="10" r:id="rId10"/>
    <sheet name="Sterl10" sheetId="11" r:id="rId11"/>
    <sheet name="EngLC1" sheetId="12" r:id="rId12"/>
    <sheet name="EngLC2" sheetId="13" r:id="rId13"/>
    <sheet name="AntExch" sheetId="14" r:id="rId14"/>
  </sheets>
  <definedNames>
    <definedName name="_xlnm.Print_Titles" localSheetId="0">'Silver£'!$A:$A,'Silver£'!$1:$7</definedName>
    <definedName name="_xlnm.Print_Titles" localSheetId="1">'Gold£'!$A:$A,'Gold£'!$1:$7</definedName>
    <definedName name="_xlnm.Print_Titles" localSheetId="2">'MintOutputs1'!$A:$A,'MintOutputs1'!$1:$7</definedName>
    <definedName name="_xlnm.Print_Titles" localSheetId="3">'MintOutputs1A'!$A:$A,'MintOutputs1A'!$1:$7</definedName>
    <definedName name="_xlnm.Print_Titles" localSheetId="4">'MIntOutputs1B'!$A:$A,'MIntOutputs1B'!$1:$7</definedName>
    <definedName name="_xlnm.Print_Titles" localSheetId="5">'MintOutputs2'!$A:$A,'MintOutputs2'!$1:$7</definedName>
    <definedName name="_xlnm.Print_Titles" localSheetId="6">'MintOutputs3'!$A:$A,'MintOutputs3'!$1:$7</definedName>
    <definedName name="_xlnm.Print_Titles" localSheetId="7">'MintOutputs4'!$A:$A,'MintOutputs4'!$1:$7</definedName>
    <definedName name="_xlnm.Print_Titles" localSheetId="8">'MintOutputs5'!$A:$A,'MintOutputs5'!$1:$7</definedName>
    <definedName name="_xlnm.Print_Titles" localSheetId="9">'Sterl5'!$A:$A,'Sterl5'!$1:$7</definedName>
    <definedName name="_xlnm.Print_Titles" localSheetId="10">'Sterl10'!$A:$A,'Sterl10'!$1:$7</definedName>
    <definedName name="_xlnm.Print_Titles" localSheetId="11">'EngLC1'!$A:$A,'EngLC1'!$1:$7</definedName>
    <definedName name="_xlnm.Print_Titles" localSheetId="12">'EngLC2'!$A:$A,'EngLC2'!$1:$7</definedName>
    <definedName name="_xlnm.Print_Titles" localSheetId="13">'AntExch'!$A:$A,'AntExch'!$1:$7</definedName>
  </definedNames>
  <calcPr fullCalcOnLoad="1"/>
</workbook>
</file>

<file path=xl/sharedStrings.xml><?xml version="1.0" encoding="utf-8"?>
<sst xmlns="http://schemas.openxmlformats.org/spreadsheetml/2006/main" count="1200" uniqueCount="319">
  <si>
    <t>%</t>
  </si>
  <si>
    <t xml:space="preserve">% </t>
  </si>
  <si>
    <t>ENGLAND: SILVER AND GOLD COINAGE OUTPUTS: in kg. fine metal and in £ sterling values</t>
  </si>
  <si>
    <t>Up to £200,000 base coin to be converted into 4 oz silver</t>
  </si>
  <si>
    <t>in £ sterling</t>
  </si>
  <si>
    <t>kg. in £ st.</t>
  </si>
  <si>
    <t>of £ Groot Flemish</t>
  </si>
  <si>
    <t>£ sterl Value</t>
  </si>
  <si>
    <t>£ sterling</t>
  </si>
  <si>
    <t>% Change</t>
  </si>
  <si>
    <t>0.925 fine</t>
  </si>
  <si>
    <t>1 kg of</t>
  </si>
  <si>
    <t>1/2d at 21s [504] per lb; 1/4 d at 21s 2d [1016] per lb.; no 1d</t>
  </si>
  <si>
    <t>1/2d: 23s 3d per lb [558]; 1/4d: 23s 5d per lb [1124]</t>
  </si>
  <si>
    <t>1236-40</t>
  </si>
  <si>
    <t>1241-45</t>
  </si>
  <si>
    <t>1246-50</t>
  </si>
  <si>
    <t>1251-55</t>
  </si>
  <si>
    <t>1256-60</t>
  </si>
  <si>
    <t>1257-08-00</t>
  </si>
  <si>
    <t>1261-65</t>
  </si>
  <si>
    <t>1266-70</t>
  </si>
  <si>
    <t>1271-75</t>
  </si>
  <si>
    <t>1272-00-00*</t>
  </si>
  <si>
    <t>1276-80</t>
  </si>
  <si>
    <t>1279-12-08</t>
  </si>
  <si>
    <t>1281-85</t>
  </si>
  <si>
    <t>1286-90</t>
  </si>
  <si>
    <t>1291-95</t>
  </si>
  <si>
    <t>1296-00</t>
  </si>
  <si>
    <t>1301-05</t>
  </si>
  <si>
    <t>1306-10</t>
  </si>
  <si>
    <t>1311-15</t>
  </si>
  <si>
    <t>1316-20</t>
  </si>
  <si>
    <t>1321-25</t>
  </si>
  <si>
    <t>1326-30</t>
  </si>
  <si>
    <t>1331-35</t>
  </si>
  <si>
    <t>1335-07-06</t>
  </si>
  <si>
    <t>1336-40</t>
  </si>
  <si>
    <t>1341-45</t>
  </si>
  <si>
    <t>1343-12-04</t>
  </si>
  <si>
    <t>1344-07-09</t>
  </si>
  <si>
    <t>1345-06-23</t>
  </si>
  <si>
    <t>1346-07-28</t>
  </si>
  <si>
    <t>1346-50</t>
  </si>
  <si>
    <t>1351 =</t>
  </si>
  <si>
    <t>1351-06-20</t>
  </si>
  <si>
    <t>1351-06-29</t>
  </si>
  <si>
    <t>1351-55</t>
  </si>
  <si>
    <t>1356-60</t>
  </si>
  <si>
    <t>1361-65</t>
  </si>
  <si>
    <t>1366-70</t>
  </si>
  <si>
    <t>1371-75</t>
  </si>
  <si>
    <t>1376-80</t>
  </si>
  <si>
    <t>1381-85</t>
  </si>
  <si>
    <t>1386-90</t>
  </si>
  <si>
    <t>1391-95</t>
  </si>
  <si>
    <t>1396-00</t>
  </si>
  <si>
    <t>1400-9</t>
  </si>
  <si>
    <t>1401-05</t>
  </si>
  <si>
    <t>1406-10</t>
  </si>
  <si>
    <t>1410-9</t>
  </si>
  <si>
    <t>1411-15</t>
  </si>
  <si>
    <t>1412-04-03</t>
  </si>
  <si>
    <t>1416-20</t>
  </si>
  <si>
    <t>1420-9</t>
  </si>
  <si>
    <t>1421-25</t>
  </si>
  <si>
    <t>1426-30</t>
  </si>
  <si>
    <t>1426-50</t>
  </si>
  <si>
    <t>1430-9</t>
  </si>
  <si>
    <t>1431-35</t>
  </si>
  <si>
    <t>1436-40</t>
  </si>
  <si>
    <t>1440-9</t>
  </si>
  <si>
    <t>1441-45</t>
  </si>
  <si>
    <t>1446-50</t>
  </si>
  <si>
    <t>1450-9</t>
  </si>
  <si>
    <t>1451-55</t>
  </si>
  <si>
    <t>1451-75</t>
  </si>
  <si>
    <t>1456-60</t>
  </si>
  <si>
    <t>1460-9</t>
  </si>
  <si>
    <t>1461-65</t>
  </si>
  <si>
    <t>1464-08-13</t>
  </si>
  <si>
    <t>1465-03-06</t>
  </si>
  <si>
    <t>1466-70</t>
  </si>
  <si>
    <t>1470-9</t>
  </si>
  <si>
    <t>1471-75</t>
  </si>
  <si>
    <t>1476-00</t>
  </si>
  <si>
    <t>1476-80</t>
  </si>
  <si>
    <t>1480-9</t>
  </si>
  <si>
    <t>1481-85</t>
  </si>
  <si>
    <t>1486-90</t>
  </si>
  <si>
    <t>1489-10-28</t>
  </si>
  <si>
    <t>1490-9</t>
  </si>
  <si>
    <t>1491-95</t>
  </si>
  <si>
    <t>1496-00</t>
  </si>
  <si>
    <t>1500-9</t>
  </si>
  <si>
    <t>1501-05</t>
  </si>
  <si>
    <t>1501-25</t>
  </si>
  <si>
    <t>1506-10</t>
  </si>
  <si>
    <t>1510-9</t>
  </si>
  <si>
    <t>1511-15</t>
  </si>
  <si>
    <t>1516-20</t>
  </si>
  <si>
    <t>1520-9</t>
  </si>
  <si>
    <t>1521-25</t>
  </si>
  <si>
    <t>1526-08-22</t>
  </si>
  <si>
    <t>1526-11-05</t>
  </si>
  <si>
    <t>1526-11-05*</t>
  </si>
  <si>
    <t>1526-30</t>
  </si>
  <si>
    <t>1526-50</t>
  </si>
  <si>
    <t>1530-9</t>
  </si>
  <si>
    <t>1531-35</t>
  </si>
  <si>
    <t>1533-04-06</t>
  </si>
  <si>
    <t>1536-40</t>
  </si>
  <si>
    <t>1540-9</t>
  </si>
  <si>
    <t>1541-45</t>
  </si>
  <si>
    <t>1542-05-16</t>
  </si>
  <si>
    <t>1544-05-28</t>
  </si>
  <si>
    <t>1545-03-27</t>
  </si>
  <si>
    <t>1546-04-01</t>
  </si>
  <si>
    <t>1546-50</t>
  </si>
  <si>
    <t>1549-01-24</t>
  </si>
  <si>
    <t>1549-04-12</t>
  </si>
  <si>
    <t>1550-02-01</t>
  </si>
  <si>
    <t>1550-9</t>
  </si>
  <si>
    <t>1551-04-14</t>
  </si>
  <si>
    <t>1551-10-05</t>
  </si>
  <si>
    <t>1551-55</t>
  </si>
  <si>
    <t>1551-75</t>
  </si>
  <si>
    <t>1553-06-11**</t>
  </si>
  <si>
    <t>1553-08-20*</t>
  </si>
  <si>
    <t>1553-08-23</t>
  </si>
  <si>
    <t>1556-60</t>
  </si>
  <si>
    <t>1558-12-31</t>
  </si>
  <si>
    <t>1560-11-05</t>
  </si>
  <si>
    <t>1560-11-08</t>
  </si>
  <si>
    <t>1560-9</t>
  </si>
  <si>
    <t>1561-65</t>
  </si>
  <si>
    <t>1566-70</t>
  </si>
  <si>
    <t>1570-9</t>
  </si>
  <si>
    <t>1571-75</t>
  </si>
  <si>
    <t>1576-00</t>
  </si>
  <si>
    <t>1576-80</t>
  </si>
  <si>
    <t>1578-09-15</t>
  </si>
  <si>
    <t>1578-09-15*</t>
  </si>
  <si>
    <t>1580-9</t>
  </si>
  <si>
    <t>1581-85</t>
  </si>
  <si>
    <t>1583-01-30</t>
  </si>
  <si>
    <t>1586-90</t>
  </si>
  <si>
    <t>1590-9</t>
  </si>
  <si>
    <t>1591-95</t>
  </si>
  <si>
    <t>1593-06-10</t>
  </si>
  <si>
    <t>1596-00</t>
  </si>
  <si>
    <t>1601-01-11*</t>
  </si>
  <si>
    <t>1601-07-29</t>
  </si>
  <si>
    <t>1601-07-29*</t>
  </si>
  <si>
    <t>1626-08-14*</t>
  </si>
  <si>
    <t>1626-11-08</t>
  </si>
  <si>
    <t>1700-12-23</t>
  </si>
  <si>
    <t>1817-02-06</t>
  </si>
  <si>
    <t>23c 3.5gr</t>
  </si>
  <si>
    <t>5400 gr.</t>
  </si>
  <si>
    <t>5400 Tower</t>
  </si>
  <si>
    <t>5760 gr.</t>
  </si>
  <si>
    <t>5760 Troy</t>
  </si>
  <si>
    <t>abortive</t>
  </si>
  <si>
    <t>all silver coins proportional by weight and henceforth</t>
  </si>
  <si>
    <t>Alloyed</t>
  </si>
  <si>
    <t>and in</t>
  </si>
  <si>
    <t>angelet</t>
  </si>
  <si>
    <t>angel-noble</t>
  </si>
  <si>
    <t>April</t>
  </si>
  <si>
    <t>as Percent</t>
  </si>
  <si>
    <t>August</t>
  </si>
  <si>
    <t>Challis: "same standard as old sterlings and of like weight."</t>
  </si>
  <si>
    <t>change</t>
  </si>
  <si>
    <t>Change in</t>
  </si>
  <si>
    <t>Coin in</t>
  </si>
  <si>
    <t>Coinage undertaken at the crown's expense: no mint charges</t>
  </si>
  <si>
    <t>Comments</t>
  </si>
  <si>
    <t>Content</t>
  </si>
  <si>
    <t>crown</t>
  </si>
  <si>
    <t>D. rose crown</t>
  </si>
  <si>
    <t>Date</t>
  </si>
  <si>
    <t>dec. pound</t>
  </si>
  <si>
    <t>December</t>
  </si>
  <si>
    <t>decimal</t>
  </si>
  <si>
    <t>Decreed Nov. 1411: took effect on Easter 1412</t>
  </si>
  <si>
    <t>E &amp; LC Combined</t>
  </si>
  <si>
    <t>Elizabethan recoinage (silver)</t>
  </si>
  <si>
    <t>ENGLAND</t>
  </si>
  <si>
    <t>ENGLISH GOLD COINAGES, 1257 - 1819</t>
  </si>
  <si>
    <t>ENGLISH MINT OUTPUTS</t>
  </si>
  <si>
    <t>ENGLISH SILVER COINAGES</t>
  </si>
  <si>
    <t>February</t>
  </si>
  <si>
    <t>Fineness</t>
  </si>
  <si>
    <t>florin</t>
  </si>
  <si>
    <t>For silver coins of 8s, 4s, 2s, and 1s (testoon)</t>
  </si>
  <si>
    <t>George noble</t>
  </si>
  <si>
    <t>Gold</t>
  </si>
  <si>
    <t>GOLD</t>
  </si>
  <si>
    <t xml:space="preserve">GOLD </t>
  </si>
  <si>
    <t>GOLD COINAGE OUTPUTS</t>
  </si>
  <si>
    <t>Gold in</t>
  </si>
  <si>
    <t>gr Flemish</t>
  </si>
  <si>
    <t>Grains Troy</t>
  </si>
  <si>
    <t>grams</t>
  </si>
  <si>
    <t>Grams</t>
  </si>
  <si>
    <t xml:space="preserve">grams </t>
  </si>
  <si>
    <t>Grams of</t>
  </si>
  <si>
    <t>groot</t>
  </si>
  <si>
    <t>half-crown</t>
  </si>
  <si>
    <t>Half-crown</t>
  </si>
  <si>
    <t>half-sovereign</t>
  </si>
  <si>
    <t>imitation florin</t>
  </si>
  <si>
    <t>in</t>
  </si>
  <si>
    <t>in Carats</t>
  </si>
  <si>
    <t>in Coin</t>
  </si>
  <si>
    <t>in dwt</t>
  </si>
  <si>
    <t>in gold</t>
  </si>
  <si>
    <t>in grams</t>
  </si>
  <si>
    <t>In Kilograms of Fine Metal, in Quinquennial Means: 1426-30 to 1596-1600</t>
  </si>
  <si>
    <t>in lb. sterl</t>
  </si>
  <si>
    <t>in lb. sterl.</t>
  </si>
  <si>
    <t>in oz.</t>
  </si>
  <si>
    <t>in Penny</t>
  </si>
  <si>
    <t>in quinquennial means: 1426-30 to 1596-1600</t>
  </si>
  <si>
    <t>in Silver</t>
  </si>
  <si>
    <t>in sterling</t>
  </si>
  <si>
    <t xml:space="preserve">in Sterling </t>
  </si>
  <si>
    <t>in Value</t>
  </si>
  <si>
    <t>increased by 2d to be given to the merchants (higher mint price)</t>
  </si>
  <si>
    <t>Index</t>
  </si>
  <si>
    <t>Index:</t>
  </si>
  <si>
    <t>Introduced</t>
  </si>
  <si>
    <t>January</t>
  </si>
  <si>
    <t>July</t>
  </si>
  <si>
    <t>June</t>
  </si>
  <si>
    <t>kg.</t>
  </si>
  <si>
    <t>Kilogram</t>
  </si>
  <si>
    <t>kilograms</t>
  </si>
  <si>
    <t>L.C.*</t>
  </si>
  <si>
    <t>London</t>
  </si>
  <si>
    <t>LONDON ANTWERP EXCHANGE RATES, 1544 - 1563</t>
  </si>
  <si>
    <t>m1451-75=100</t>
  </si>
  <si>
    <t>March</t>
  </si>
  <si>
    <t>May</t>
  </si>
  <si>
    <t>Mean</t>
  </si>
  <si>
    <t>Month</t>
  </si>
  <si>
    <t>Name</t>
  </si>
  <si>
    <t>No. Pence</t>
  </si>
  <si>
    <t>No. to the</t>
  </si>
  <si>
    <t>noble</t>
  </si>
  <si>
    <t>not coined; but value raised</t>
  </si>
  <si>
    <t>November</t>
  </si>
  <si>
    <t>October</t>
  </si>
  <si>
    <t>of 1kg silver</t>
  </si>
  <si>
    <t>of 24 carats</t>
  </si>
  <si>
    <t>of Coin</t>
  </si>
  <si>
    <t>of penny</t>
  </si>
  <si>
    <t>of Penny</t>
  </si>
  <si>
    <t>of Total</t>
  </si>
  <si>
    <t>Official</t>
  </si>
  <si>
    <t>out of</t>
  </si>
  <si>
    <t>PB&amp;H</t>
  </si>
  <si>
    <t>pence</t>
  </si>
  <si>
    <t>penny</t>
  </si>
  <si>
    <t>Percent</t>
  </si>
  <si>
    <t>pound</t>
  </si>
  <si>
    <t>Pound</t>
  </si>
  <si>
    <t>Pounds</t>
  </si>
  <si>
    <t>Price Index</t>
  </si>
  <si>
    <t>Provincial</t>
  </si>
  <si>
    <t>Pure Gold</t>
  </si>
  <si>
    <t>pure silver</t>
  </si>
  <si>
    <t>Pure Silver</t>
  </si>
  <si>
    <t>Reduction</t>
  </si>
  <si>
    <t>rose crown</t>
  </si>
  <si>
    <t>ryal (rose noble)</t>
  </si>
  <si>
    <t>See below for 1553</t>
  </si>
  <si>
    <t>See below for 1601</t>
  </si>
  <si>
    <t>September</t>
  </si>
  <si>
    <t>shillings</t>
  </si>
  <si>
    <t>Silver</t>
  </si>
  <si>
    <t>SILVER</t>
  </si>
  <si>
    <t>Silver and Gold Coinage Outputs in England and the Low Countries in kilograms of fine metal</t>
  </si>
  <si>
    <t>SILVER COINAGE OUTPUTS</t>
  </si>
  <si>
    <t>silver in 1d</t>
  </si>
  <si>
    <t>sovereign</t>
  </si>
  <si>
    <t>Special Remarks</t>
  </si>
  <si>
    <t>Struck at this slightly reduced rate until 22 August 1582</t>
  </si>
  <si>
    <t>Table 6.</t>
  </si>
  <si>
    <t>Table 7.</t>
  </si>
  <si>
    <t>temporary aberration: to November 1626</t>
  </si>
  <si>
    <t>the Pound</t>
  </si>
  <si>
    <t xml:space="preserve">to Tower </t>
  </si>
  <si>
    <t>to Troy</t>
  </si>
  <si>
    <t>Total</t>
  </si>
  <si>
    <t>TOTAL</t>
  </si>
  <si>
    <t>Tower lb</t>
  </si>
  <si>
    <t>Tower lb.</t>
  </si>
  <si>
    <t>Tower/</t>
  </si>
  <si>
    <t>Troy</t>
  </si>
  <si>
    <t>Troy lb</t>
  </si>
  <si>
    <t>Troy lb.</t>
  </si>
  <si>
    <t>Troy lb. displaced the Tower lb.</t>
  </si>
  <si>
    <t>Troy*</t>
  </si>
  <si>
    <t>Up to 40,000 lb. fine silver to be coined into 3 oz silver</t>
  </si>
  <si>
    <t>Value</t>
  </si>
  <si>
    <t>Value in</t>
  </si>
  <si>
    <t>Value in sterling</t>
  </si>
  <si>
    <t>Value of</t>
  </si>
  <si>
    <t>Value of 1 kg</t>
  </si>
  <si>
    <t>VALUES</t>
  </si>
  <si>
    <t>Weight</t>
  </si>
  <si>
    <t>Weight of</t>
  </si>
  <si>
    <t>Weights in Tower lb. of 349.9144 grams = 11.025 oz Troy</t>
  </si>
  <si>
    <t>Weights in Troy lb. (12 oz.) of 373.242 grams</t>
  </si>
  <si>
    <t>Year</t>
  </si>
  <si>
    <t>Years</t>
  </si>
</sst>
</file>

<file path=xl/styles.xml><?xml version="1.0" encoding="utf-8"?>
<styleSheet xmlns="http://schemas.openxmlformats.org/spreadsheetml/2006/main">
  <numFmts count="25">
    <numFmt numFmtId="164" formatCode="[$$-409]\ #,##0.00"/>
    <numFmt numFmtId="165" formatCode="[$$-409]\ #,##0"/>
    <numFmt numFmtId="166" formatCode="0.000%"/>
    <numFmt numFmtId="167" formatCode="0.0000"/>
    <numFmt numFmtId="168" formatCode="0.0000"/>
    <numFmt numFmtId="169" formatCode="0.0000"/>
    <numFmt numFmtId="170" formatCode="0.0000"/>
    <numFmt numFmtId="171" formatCode="0.000%"/>
    <numFmt numFmtId="172" formatCode="0.0000"/>
    <numFmt numFmtId="173" formatCode="0.0000%"/>
    <numFmt numFmtId="174" formatCode="0.0000%"/>
    <numFmt numFmtId="175" formatCode="0.000"/>
    <numFmt numFmtId="176" formatCode="0.000"/>
    <numFmt numFmtId="177" formatCode="0.00000"/>
    <numFmt numFmtId="178" formatCode="0.00000"/>
    <numFmt numFmtId="179" formatCode="0.000"/>
    <numFmt numFmtId="180" formatCode="0.000"/>
    <numFmt numFmtId="181" formatCode="#,##0.000"/>
    <numFmt numFmtId="182" formatCode="#,##0.000"/>
    <numFmt numFmtId="183" formatCode="#,##0.000"/>
    <numFmt numFmtId="184" formatCode="#,##0.000"/>
    <numFmt numFmtId="185" formatCode="#,##0.0000"/>
    <numFmt numFmtId="186" formatCode="0.00000"/>
    <numFmt numFmtId="187" formatCode="0.00000"/>
    <numFmt numFmtId="188" formatCode="0.00000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2" borderId="0">
      <alignment/>
      <protection/>
    </xf>
    <xf numFmtId="164" fontId="0" fillId="2" borderId="0">
      <alignment/>
      <protection/>
    </xf>
    <xf numFmtId="10" fontId="0" fillId="2" borderId="0">
      <alignment/>
      <protection/>
    </xf>
    <xf numFmtId="2" fontId="0" fillId="2" borderId="0">
      <alignment/>
      <protection/>
    </xf>
    <xf numFmtId="0" fontId="0" fillId="2" borderId="0">
      <alignment/>
      <protection/>
    </xf>
    <xf numFmtId="0" fontId="1" fillId="2" borderId="0">
      <alignment/>
      <protection/>
    </xf>
    <xf numFmtId="0" fontId="2" fillId="2" borderId="0">
      <alignment/>
      <protection/>
    </xf>
    <xf numFmtId="0" fontId="0" fillId="2" borderId="1">
      <alignment/>
      <protection/>
    </xf>
    <xf numFmtId="3" fontId="0" fillId="2" borderId="0">
      <alignment/>
      <protection/>
    </xf>
    <xf numFmtId="165" fontId="0" fillId="2" borderId="0">
      <alignment/>
      <protection/>
    </xf>
  </cellStyleXfs>
  <cellXfs count="60">
    <xf numFmtId="0" fontId="0" fillId="2" borderId="0" xfId="0" applyAlignment="1">
      <alignment/>
    </xf>
    <xf numFmtId="0" fontId="3" fillId="2" borderId="0" xfId="0" applyAlignment="1">
      <alignment/>
    </xf>
    <xf numFmtId="4" fontId="0" fillId="2" borderId="0" xfId="0" applyAlignment="1">
      <alignment/>
    </xf>
    <xf numFmtId="4" fontId="3" fillId="2" borderId="0" xfId="0" applyAlignment="1">
      <alignment/>
    </xf>
    <xf numFmtId="10" fontId="0" fillId="2" borderId="0" xfId="0" applyAlignment="1">
      <alignment/>
    </xf>
    <xf numFmtId="10" fontId="3" fillId="2" borderId="0" xfId="0" applyAlignment="1">
      <alignment/>
    </xf>
    <xf numFmtId="0" fontId="3" fillId="2" borderId="0" xfId="0" applyAlignment="1">
      <alignment/>
    </xf>
    <xf numFmtId="4" fontId="0" fillId="2" borderId="0" xfId="0" applyAlignment="1">
      <alignment/>
    </xf>
    <xf numFmtId="10" fontId="0" fillId="2" borderId="0" xfId="0" applyAlignment="1">
      <alignment/>
    </xf>
    <xf numFmtId="166" fontId="0" fillId="2" borderId="0" xfId="0" applyAlignment="1">
      <alignment/>
    </xf>
    <xf numFmtId="167" fontId="0" fillId="2" borderId="0" xfId="0" applyAlignment="1">
      <alignment/>
    </xf>
    <xf numFmtId="167" fontId="3" fillId="2" borderId="0" xfId="0" applyAlignment="1">
      <alignment/>
    </xf>
    <xf numFmtId="2" fontId="0" fillId="2" borderId="0" xfId="0" applyAlignment="1">
      <alignment/>
    </xf>
    <xf numFmtId="2" fontId="3" fillId="2" borderId="0" xfId="0" applyAlignment="1">
      <alignment/>
    </xf>
    <xf numFmtId="167" fontId="0" fillId="2" borderId="0" xfId="0" applyAlignment="1">
      <alignment/>
    </xf>
    <xf numFmtId="167" fontId="3" fillId="2" borderId="0" xfId="0" applyAlignment="1">
      <alignment/>
    </xf>
    <xf numFmtId="166" fontId="3" fillId="2" borderId="0" xfId="0" applyAlignment="1">
      <alignment/>
    </xf>
    <xf numFmtId="0" fontId="3" fillId="2" borderId="0" xfId="0" applyAlignment="1">
      <alignment horizontal="left"/>
    </xf>
    <xf numFmtId="0" fontId="3" fillId="2" borderId="0" xfId="0" applyAlignment="1">
      <alignment horizontal="left"/>
    </xf>
    <xf numFmtId="167" fontId="3" fillId="2" borderId="0" xfId="0" applyAlignment="1">
      <alignment horizontal="left"/>
    </xf>
    <xf numFmtId="0" fontId="0" fillId="2" borderId="0" xfId="0" applyAlignment="1">
      <alignment/>
    </xf>
    <xf numFmtId="2" fontId="0" fillId="2" borderId="0" xfId="0" applyAlignment="1">
      <alignment/>
    </xf>
    <xf numFmtId="173" fontId="0" fillId="2" borderId="0" xfId="0" applyAlignment="1">
      <alignment/>
    </xf>
    <xf numFmtId="173" fontId="3" fillId="2" borderId="0" xfId="0" applyAlignment="1">
      <alignment/>
    </xf>
    <xf numFmtId="175" fontId="0" fillId="2" borderId="0" xfId="0" applyAlignment="1">
      <alignment/>
    </xf>
    <xf numFmtId="175" fontId="3" fillId="2" borderId="0" xfId="0" applyAlignment="1">
      <alignment/>
    </xf>
    <xf numFmtId="177" fontId="0" fillId="2" borderId="0" xfId="0" applyAlignment="1">
      <alignment/>
    </xf>
    <xf numFmtId="177" fontId="3" fillId="2" borderId="0" xfId="0" applyAlignment="1">
      <alignment/>
    </xf>
    <xf numFmtId="2" fontId="3" fillId="2" borderId="0" xfId="0" applyAlignment="1">
      <alignment/>
    </xf>
    <xf numFmtId="1" fontId="0" fillId="2" borderId="0" xfId="0" applyAlignment="1">
      <alignment/>
    </xf>
    <xf numFmtId="1" fontId="3" fillId="2" borderId="0" xfId="0" applyAlignment="1">
      <alignment/>
    </xf>
    <xf numFmtId="175" fontId="0" fillId="2" borderId="0" xfId="0" applyAlignment="1">
      <alignment/>
    </xf>
    <xf numFmtId="175" fontId="3" fillId="2" borderId="0" xfId="0" applyAlignment="1">
      <alignment/>
    </xf>
    <xf numFmtId="0" fontId="3" fillId="2" borderId="0" xfId="0" applyAlignment="1">
      <alignment horizontal="center"/>
    </xf>
    <xf numFmtId="181" fontId="0" fillId="2" borderId="0" xfId="0" applyAlignment="1">
      <alignment/>
    </xf>
    <xf numFmtId="181" fontId="3" fillId="2" borderId="0" xfId="0" applyAlignment="1">
      <alignment/>
    </xf>
    <xf numFmtId="181" fontId="0" fillId="2" borderId="0" xfId="0" applyAlignment="1">
      <alignment/>
    </xf>
    <xf numFmtId="181" fontId="3" fillId="2" borderId="0" xfId="0" applyAlignment="1">
      <alignment/>
    </xf>
    <xf numFmtId="0" fontId="3" fillId="2" borderId="0" xfId="0" applyAlignment="1">
      <alignment horizontal="center"/>
    </xf>
    <xf numFmtId="185" fontId="0" fillId="2" borderId="0" xfId="0" applyAlignment="1">
      <alignment/>
    </xf>
    <xf numFmtId="4" fontId="3" fillId="2" borderId="0" xfId="0" applyAlignment="1">
      <alignment/>
    </xf>
    <xf numFmtId="2" fontId="0" fillId="2" borderId="0" xfId="18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2" borderId="0" xfId="0" applyAlignment="1">
      <alignment horizontal="center"/>
    </xf>
    <xf numFmtId="0" fontId="3" fillId="2" borderId="0" xfId="0" applyAlignment="1">
      <alignment horizontal="center"/>
    </xf>
    <xf numFmtId="177" fontId="0" fillId="2" borderId="0" xfId="0" applyAlignment="1">
      <alignment/>
    </xf>
    <xf numFmtId="177" fontId="0" fillId="2" borderId="0" xfId="0" applyAlignment="1">
      <alignment/>
    </xf>
    <xf numFmtId="177" fontId="3" fillId="2" borderId="0" xfId="0" applyAlignment="1">
      <alignment/>
    </xf>
    <xf numFmtId="0" fontId="0" fillId="2" borderId="0" xfId="0" applyAlignment="1">
      <alignment/>
    </xf>
    <xf numFmtId="0" fontId="3" fillId="2" borderId="0" xfId="0" applyAlignment="1">
      <alignment horizontal="center"/>
    </xf>
    <xf numFmtId="0" fontId="0" fillId="2" borderId="0" xfId="0" applyAlignment="1">
      <alignment/>
    </xf>
    <xf numFmtId="0" fontId="0" fillId="2" borderId="0" xfId="0" applyAlignment="1">
      <alignment/>
    </xf>
    <xf numFmtId="0" fontId="3" fillId="2" borderId="0" xfId="0" applyAlignment="1">
      <alignment/>
    </xf>
    <xf numFmtId="0" fontId="3" fillId="2" borderId="0" xfId="0" applyAlignment="1">
      <alignment horizontal="center"/>
    </xf>
    <xf numFmtId="0" fontId="3" fillId="2" borderId="0" xfId="0" applyAlignment="1">
      <alignment/>
    </xf>
    <xf numFmtId="10" fontId="0" fillId="2" borderId="0" xfId="0" applyAlignment="1">
      <alignment/>
    </xf>
    <xf numFmtId="0" fontId="0" fillId="2" borderId="0" xfId="0" applyAlignment="1">
      <alignment/>
    </xf>
    <xf numFmtId="0" fontId="3" fillId="2" borderId="0" xfId="0" applyAlignment="1">
      <alignment horizontal="center"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FF"/>
      <rgbColor rgb="00FFFF00"/>
      <rgbColor rgb="0000FF00"/>
      <rgbColor rgb="00FF0000"/>
      <rgbColor rgb="00FF00FF"/>
      <rgbColor rgb="00FF8000"/>
      <rgbColor rgb="00FFCD00"/>
      <rgbColor rgb="0000FFFF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65"/>
  <sheetViews>
    <sheetView tabSelected="1" defaultGridColor="0" zoomScale="90" zoomScaleNormal="90" colorId="0" workbookViewId="0" topLeftCell="A1">
      <pane xSplit="1" ySplit="7" topLeftCell="B8" activePane="bottomRight" state="frozen"/>
      <selection pane="bottomRight" activeCell="B8" sqref="B8"/>
    </sheetView>
  </sheetViews>
  <sheetFormatPr defaultColWidth="9.140625" defaultRowHeight="12.75"/>
  <cols>
    <col min="1" max="1" width="12.140625" style="17" customWidth="1"/>
    <col min="2" max="3" width="9.57421875" style="0" customWidth="1"/>
    <col min="4" max="4" width="9.8515625" style="10" customWidth="1"/>
    <col min="5" max="6" width="10.8515625" style="12" customWidth="1"/>
    <col min="7" max="7" width="9.421875" style="10" customWidth="1"/>
    <col min="8" max="8" width="11.7109375" style="0" customWidth="1"/>
    <col min="9" max="9" width="9.140625" style="0" customWidth="1"/>
    <col min="10" max="10" width="10.8515625" style="0" customWidth="1"/>
    <col min="11" max="11" width="10.57421875" style="10" customWidth="1"/>
    <col min="12" max="12" width="11.140625" style="14" customWidth="1"/>
    <col min="13" max="13" width="11.140625" style="10" customWidth="1"/>
    <col min="14" max="14" width="7.28125" style="12" customWidth="1"/>
    <col min="15" max="15" width="10.57421875" style="9" customWidth="1"/>
    <col min="16" max="16" width="13.421875" style="9" customWidth="1"/>
    <col min="18" max="18" width="54.140625" style="0" customWidth="1"/>
  </cols>
  <sheetData>
    <row r="1" ht="12.75">
      <c r="B1" s="1" t="s">
        <v>192</v>
      </c>
    </row>
    <row r="3" spans="1:18" ht="12.75">
      <c r="A3" s="17" t="s">
        <v>182</v>
      </c>
      <c r="B3" s="1" t="s">
        <v>194</v>
      </c>
      <c r="C3" s="1" t="s">
        <v>194</v>
      </c>
      <c r="D3" s="11" t="s">
        <v>194</v>
      </c>
      <c r="E3" s="13" t="s">
        <v>249</v>
      </c>
      <c r="F3" s="13" t="s">
        <v>249</v>
      </c>
      <c r="G3" s="11" t="s">
        <v>313</v>
      </c>
      <c r="H3" s="1" t="s">
        <v>208</v>
      </c>
      <c r="I3" s="1" t="s">
        <v>310</v>
      </c>
      <c r="J3" s="1" t="s">
        <v>293</v>
      </c>
      <c r="K3" s="11" t="s">
        <v>310</v>
      </c>
      <c r="L3" s="15" t="s">
        <v>310</v>
      </c>
      <c r="M3" s="11" t="s">
        <v>310</v>
      </c>
      <c r="N3" s="13" t="s">
        <v>231</v>
      </c>
      <c r="O3" s="16" t="s">
        <v>9</v>
      </c>
      <c r="P3" s="16" t="s">
        <v>9</v>
      </c>
      <c r="R3" s="1" t="s">
        <v>288</v>
      </c>
    </row>
    <row r="4" spans="1:16" ht="12.75">
      <c r="A4" s="17"/>
      <c r="B4" s="1" t="s">
        <v>223</v>
      </c>
      <c r="C4" s="1" t="s">
        <v>217</v>
      </c>
      <c r="D4" s="11" t="s">
        <v>262</v>
      </c>
      <c r="E4" s="13" t="s">
        <v>294</v>
      </c>
      <c r="F4" s="13" t="s">
        <v>295</v>
      </c>
      <c r="G4" s="11" t="s">
        <v>219</v>
      </c>
      <c r="H4" s="1" t="s">
        <v>274</v>
      </c>
      <c r="I4" s="1" t="s">
        <v>300</v>
      </c>
      <c r="J4" s="1" t="s">
        <v>305</v>
      </c>
      <c r="K4" s="11" t="s">
        <v>299</v>
      </c>
      <c r="L4" s="15" t="s">
        <v>303</v>
      </c>
      <c r="M4" s="11" t="s">
        <v>238</v>
      </c>
      <c r="N4" s="13" t="s">
        <v>45</v>
      </c>
      <c r="O4" s="16" t="s">
        <v>226</v>
      </c>
      <c r="P4" s="16" t="s">
        <v>228</v>
      </c>
    </row>
    <row r="5" spans="1:16" ht="12.75">
      <c r="A5" s="17"/>
      <c r="B5" s="1"/>
      <c r="C5" s="1"/>
      <c r="D5" s="19">
        <v>1</v>
      </c>
      <c r="E5" s="13" t="s">
        <v>268</v>
      </c>
      <c r="F5" s="13" t="s">
        <v>268</v>
      </c>
      <c r="G5" s="11" t="s">
        <v>258</v>
      </c>
      <c r="H5" s="1" t="s">
        <v>224</v>
      </c>
      <c r="I5" s="1" t="s">
        <v>166</v>
      </c>
      <c r="J5" s="1" t="s">
        <v>214</v>
      </c>
      <c r="K5" s="11" t="s">
        <v>10</v>
      </c>
      <c r="L5" s="15" t="s">
        <v>10</v>
      </c>
      <c r="M5" s="11" t="s">
        <v>273</v>
      </c>
      <c r="N5" s="13">
        <v>100</v>
      </c>
      <c r="O5" s="16" t="s">
        <v>179</v>
      </c>
      <c r="P5" s="16" t="s">
        <v>311</v>
      </c>
    </row>
    <row r="6" spans="1:16" ht="12.75">
      <c r="A6" s="17"/>
      <c r="B6" s="1"/>
      <c r="C6" s="1"/>
      <c r="D6" s="11"/>
      <c r="E6" s="13"/>
      <c r="F6" s="13"/>
      <c r="G6" s="11"/>
      <c r="H6" s="1"/>
      <c r="I6" s="1" t="s">
        <v>281</v>
      </c>
      <c r="J6" s="1" t="s">
        <v>264</v>
      </c>
      <c r="K6" s="11" t="s">
        <v>221</v>
      </c>
      <c r="L6" s="15" t="s">
        <v>222</v>
      </c>
      <c r="M6" s="11" t="s">
        <v>221</v>
      </c>
      <c r="N6" s="13"/>
      <c r="O6" s="16" t="s">
        <v>259</v>
      </c>
      <c r="P6" s="16" t="s">
        <v>274</v>
      </c>
    </row>
    <row r="7" spans="1:16" ht="12.75">
      <c r="A7" s="17"/>
      <c r="D7" s="10"/>
      <c r="E7" s="12"/>
      <c r="F7" s="12"/>
      <c r="G7" s="10"/>
      <c r="K7" s="10"/>
      <c r="L7" s="14"/>
      <c r="M7" s="10"/>
      <c r="N7" s="12"/>
      <c r="O7" s="9"/>
      <c r="P7" s="9"/>
    </row>
    <row r="8" spans="1:18" ht="12.75">
      <c r="A8" s="17" t="s">
        <v>23</v>
      </c>
      <c r="B8">
        <v>11</v>
      </c>
      <c r="C8">
        <v>2</v>
      </c>
      <c r="D8" s="10">
        <f>(B8/12)+(C8/20)/12</f>
        <v>0.9249999999999999</v>
      </c>
      <c r="E8" s="12">
        <v>242</v>
      </c>
      <c r="F8" s="12">
        <f>E8*(373.242/349.9144)</f>
        <v>258.13331489072755</v>
      </c>
      <c r="G8" s="10">
        <f>349.9144/E8</f>
        <v>1.4459272727272727</v>
      </c>
      <c r="H8" s="10">
        <f>G8*D8</f>
        <v>1.3374827272727272</v>
      </c>
      <c r="I8">
        <v>20</v>
      </c>
      <c r="J8">
        <v>2</v>
      </c>
      <c r="K8" s="10">
        <f>E8*(0.925/D8)/240</f>
        <v>1.0083333333333335</v>
      </c>
      <c r="L8" s="14">
        <f>K8*(373.242/349.9144)</f>
        <v>1.075555478711365</v>
      </c>
      <c r="M8" s="10">
        <f>K8*(1/0.925)*1/0.3499144</f>
        <v>3.115305029144528</v>
      </c>
      <c r="N8" s="12">
        <f>M8/$M$15*100</f>
        <v>80.66666666666666</v>
      </c>
      <c r="O8" s="9"/>
      <c r="P8" s="9"/>
      <c r="R8" t="s">
        <v>315</v>
      </c>
    </row>
    <row r="9" spans="1:16" ht="12.75">
      <c r="A9" s="17" t="s">
        <v>25</v>
      </c>
      <c r="B9">
        <v>11</v>
      </c>
      <c r="C9">
        <v>2</v>
      </c>
      <c r="D9" s="10">
        <f>(B9/12)+(C9/20)/12</f>
        <v>0.9249999999999999</v>
      </c>
      <c r="E9" s="12">
        <v>243</v>
      </c>
      <c r="F9" s="12">
        <f>E9*(373.242/349.9144)</f>
        <v>259.1999814811851</v>
      </c>
      <c r="G9" s="10">
        <f>349.9144/E9</f>
        <v>1.4399769547325103</v>
      </c>
      <c r="H9" s="10">
        <f>G9*D9</f>
        <v>1.331978683127572</v>
      </c>
      <c r="I9">
        <v>20</v>
      </c>
      <c r="J9">
        <v>3</v>
      </c>
      <c r="K9" s="10">
        <f>E9*(0.925/D9)/240</f>
        <v>1.0125000000000002</v>
      </c>
      <c r="L9" s="14">
        <f>K9*(373.242/349.9144)</f>
        <v>1.0799999228382715</v>
      </c>
      <c r="M9" s="10">
        <f>K9*(1/0.925)*1/0.3499144</f>
        <v>3.1281781904219845</v>
      </c>
      <c r="N9" s="12">
        <f>M9/$M$15*100</f>
        <v>81</v>
      </c>
      <c r="O9" s="9">
        <f>(H9-H8)/H8</f>
        <v>-0.004115226337448564</v>
      </c>
      <c r="P9" s="9">
        <f>(M9-M8)/M8</f>
        <v>0.004132231404958648</v>
      </c>
    </row>
    <row r="10" spans="1:18" ht="12.75">
      <c r="A10" s="17" t="s">
        <v>37</v>
      </c>
      <c r="B10">
        <v>10</v>
      </c>
      <c r="C10">
        <v>0</v>
      </c>
      <c r="D10" s="10">
        <f>(B10/12)+(C10/20)/12</f>
        <v>0.8333333333333334</v>
      </c>
      <c r="E10" s="12">
        <f>21*12</f>
        <v>252</v>
      </c>
      <c r="F10" s="12">
        <f>E10*(373.242/349.9144)</f>
        <v>268.79998079530304</v>
      </c>
      <c r="G10" s="10">
        <f>349.9144/E10</f>
        <v>1.3885492063492064</v>
      </c>
      <c r="H10" s="10">
        <f>G10*D10</f>
        <v>1.1571243386243388</v>
      </c>
      <c r="I10">
        <v>21</v>
      </c>
      <c r="J10">
        <v>0</v>
      </c>
      <c r="K10" s="10">
        <f>E10*(0.925/D10)/240</f>
        <v>1.1655000000000002</v>
      </c>
      <c r="L10" s="14">
        <f>K10*(373.242/349.9144)</f>
        <v>1.243199911178277</v>
      </c>
      <c r="M10" s="10">
        <f>K10*(1/0.925)*1/0.3499144</f>
        <v>3.6008806725301956</v>
      </c>
      <c r="N10" s="12">
        <f>M10/$M$15*100</f>
        <v>93.24</v>
      </c>
      <c r="O10" s="9">
        <f>(H10-H9)/H9</f>
        <v>-0.13127413127413107</v>
      </c>
      <c r="P10" s="9">
        <f>(M10-M9)/M9</f>
        <v>0.15111111111111114</v>
      </c>
      <c r="R10" t="s">
        <v>12</v>
      </c>
    </row>
    <row r="11" spans="1:18" ht="12.75">
      <c r="A11" s="17" t="s">
        <v>40</v>
      </c>
      <c r="B11">
        <v>11</v>
      </c>
      <c r="C11">
        <v>2</v>
      </c>
      <c r="D11" s="10">
        <f>(B11/12)+(C11/20)/12</f>
        <v>0.9249999999999999</v>
      </c>
      <c r="E11" s="12">
        <v>270</v>
      </c>
      <c r="F11" s="12">
        <f>E11*(373.242/349.9144)</f>
        <v>287.999979423539</v>
      </c>
      <c r="G11" s="10">
        <f>349.9144/E11</f>
        <v>1.2959792592592592</v>
      </c>
      <c r="H11" s="10">
        <f>G11*D11</f>
        <v>1.1987808148148147</v>
      </c>
      <c r="I11">
        <v>22</v>
      </c>
      <c r="J11">
        <v>6</v>
      </c>
      <c r="K11" s="10">
        <f>E11*(0.925/D11)/240</f>
        <v>1.1250000000000002</v>
      </c>
      <c r="L11" s="14">
        <f>K11*(373.242/349.9144)</f>
        <v>1.1999999142647462</v>
      </c>
      <c r="M11" s="10">
        <f>K11*(1/0.925)*1/0.3499144</f>
        <v>3.4757535449133163</v>
      </c>
      <c r="N11" s="12">
        <f>M11/$M$15*100</f>
        <v>90</v>
      </c>
      <c r="O11" s="9">
        <f>(H11-H10)/H10</f>
        <v>0.035999999999999706</v>
      </c>
      <c r="P11" s="9">
        <f>(M11-M10)/M10</f>
        <v>-0.03474903474903472</v>
      </c>
      <c r="R11" t="s">
        <v>173</v>
      </c>
    </row>
    <row r="12" spans="1:16" ht="12.75">
      <c r="A12" s="17" t="s">
        <v>41</v>
      </c>
      <c r="B12">
        <v>11</v>
      </c>
      <c r="C12">
        <v>2</v>
      </c>
      <c r="D12" s="10">
        <f>(B12/12)+(C12/20)/12</f>
        <v>0.9249999999999999</v>
      </c>
      <c r="E12" s="12">
        <v>266</v>
      </c>
      <c r="F12" s="12">
        <f>E12*(373.242/349.9144)</f>
        <v>283.73331306170877</v>
      </c>
      <c r="G12" s="10">
        <f>349.9144/E12</f>
        <v>1.3154676691729323</v>
      </c>
      <c r="H12" s="10">
        <f>G12*D12</f>
        <v>1.2168075939849623</v>
      </c>
      <c r="I12">
        <v>22</v>
      </c>
      <c r="J12">
        <v>2</v>
      </c>
      <c r="K12" s="10">
        <f>E12*(0.925/D12)/240</f>
        <v>1.1083333333333336</v>
      </c>
      <c r="L12" s="14">
        <f>K12*(373.242/349.9144)</f>
        <v>1.1822221377571203</v>
      </c>
      <c r="M12" s="10">
        <f>K12*(1/0.925)*1/0.3499144</f>
        <v>3.4242608998034902</v>
      </c>
      <c r="N12" s="12">
        <f>M12/$M$15*100</f>
        <v>88.6666666666667</v>
      </c>
      <c r="O12" s="9">
        <f>(H12-H11)/H11</f>
        <v>0.015037593984962424</v>
      </c>
      <c r="P12" s="9">
        <f>(M12-M11)/M11</f>
        <v>-0.014814814814814581</v>
      </c>
    </row>
    <row r="13" spans="1:18" ht="12.75">
      <c r="A13" s="17" t="s">
        <v>42</v>
      </c>
      <c r="B13">
        <v>11</v>
      </c>
      <c r="C13">
        <v>2</v>
      </c>
      <c r="D13" s="10">
        <f>(B13/12)+(C13/20)/12</f>
        <v>0.9249999999999999</v>
      </c>
      <c r="E13" s="12">
        <v>268</v>
      </c>
      <c r="F13" s="12">
        <f>E13*(373.242/349.9144)</f>
        <v>285.8666462426239</v>
      </c>
      <c r="G13" s="10">
        <f>349.9144/E13</f>
        <v>1.3056507462686566</v>
      </c>
      <c r="H13" s="10">
        <f>G13*D13</f>
        <v>1.2077269402985074</v>
      </c>
      <c r="I13">
        <v>22</v>
      </c>
      <c r="J13">
        <v>4</v>
      </c>
      <c r="K13" s="10">
        <f>E13*(0.925/D13)/240</f>
        <v>1.116666666666667</v>
      </c>
      <c r="L13" s="14">
        <f>K13*(373.242/349.9144)</f>
        <v>1.1911110260109332</v>
      </c>
      <c r="M13" s="10">
        <f>K13*(1/0.925)*1/0.3499144</f>
        <v>3.450007222358403</v>
      </c>
      <c r="N13" s="12">
        <f>M13/$M$15*100</f>
        <v>89.33333333333334</v>
      </c>
      <c r="O13" s="9">
        <f>(H13-H12)/H12</f>
        <v>-0.007462686567164179</v>
      </c>
      <c r="P13" s="9">
        <f>(M13-M12)/M12</f>
        <v>0.007518796992481018</v>
      </c>
      <c r="R13" t="s">
        <v>230</v>
      </c>
    </row>
    <row r="14" spans="1:18" ht="12.75">
      <c r="A14" s="17" t="s">
        <v>43</v>
      </c>
      <c r="B14">
        <v>11</v>
      </c>
      <c r="C14">
        <v>2</v>
      </c>
      <c r="D14" s="10">
        <f>(B14/12)+(C14/20)/12</f>
        <v>0.9249999999999999</v>
      </c>
      <c r="E14" s="12">
        <v>270</v>
      </c>
      <c r="F14" s="12">
        <f>E14*(373.242/349.9144)</f>
        <v>287.999979423539</v>
      </c>
      <c r="G14" s="10">
        <f>349.9144/E14</f>
        <v>1.2959792592592592</v>
      </c>
      <c r="H14" s="10">
        <f>G14*D14</f>
        <v>1.1987808148148147</v>
      </c>
      <c r="I14">
        <v>22</v>
      </c>
      <c r="J14">
        <v>6</v>
      </c>
      <c r="K14" s="10">
        <f>E14*(0.925/D14)/240</f>
        <v>1.1250000000000002</v>
      </c>
      <c r="L14" s="14">
        <f>K14*(373.242/349.9144)</f>
        <v>1.1999999142647462</v>
      </c>
      <c r="M14" s="10">
        <f>K14*(1/0.925)*1/0.3499144</f>
        <v>3.4757535449133163</v>
      </c>
      <c r="N14" s="12">
        <f>M14/$M$15*100</f>
        <v>90</v>
      </c>
      <c r="O14" s="9">
        <f>(H14-H13)/H13</f>
        <v>-0.007407407407407425</v>
      </c>
      <c r="P14" s="9">
        <f>(M14-M13)/M13</f>
        <v>0.007462686567164125</v>
      </c>
      <c r="R14" t="s">
        <v>13</v>
      </c>
    </row>
    <row r="15" spans="1:18" ht="12.75">
      <c r="A15" s="17" t="s">
        <v>46</v>
      </c>
      <c r="B15">
        <v>11</v>
      </c>
      <c r="C15">
        <v>2</v>
      </c>
      <c r="D15" s="10">
        <f>(B15/12)+(C15/20)/12</f>
        <v>0.9249999999999999</v>
      </c>
      <c r="E15" s="12">
        <v>300</v>
      </c>
      <c r="F15" s="12">
        <f>E15*(373.242/349.9144)</f>
        <v>319.99997713726555</v>
      </c>
      <c r="G15" s="10">
        <f>349.9144/E15</f>
        <v>1.1663813333333333</v>
      </c>
      <c r="H15" s="10">
        <f>G15*D15</f>
        <v>1.0789027333333332</v>
      </c>
      <c r="I15">
        <v>25</v>
      </c>
      <c r="J15">
        <v>0</v>
      </c>
      <c r="K15" s="10">
        <f>E15*(0.925/D15)/240</f>
        <v>1.2500000000000002</v>
      </c>
      <c r="L15" s="14">
        <f>K15*(373.242/349.9144)</f>
        <v>1.33333323807194</v>
      </c>
      <c r="M15" s="10">
        <f>K15*(1/0.925)*1/0.3499144</f>
        <v>3.861948383237018</v>
      </c>
      <c r="N15" s="12">
        <f>M15/$M$15*100</f>
        <v>100</v>
      </c>
      <c r="O15" s="9">
        <f>(H15-H14)/H14</f>
        <v>-0.10000000000000002</v>
      </c>
      <c r="P15" s="9">
        <f>(M15-M14)/M14</f>
        <v>0.11111111111111108</v>
      </c>
      <c r="R15" t="s">
        <v>165</v>
      </c>
    </row>
    <row r="16" spans="1:18" ht="12.75">
      <c r="A16" s="17" t="s">
        <v>63</v>
      </c>
      <c r="B16">
        <v>11</v>
      </c>
      <c r="C16">
        <v>2</v>
      </c>
      <c r="D16" s="10">
        <f>(B16/12)+(C16/20)/12</f>
        <v>0.9249999999999999</v>
      </c>
      <c r="E16" s="12">
        <v>360</v>
      </c>
      <c r="F16" s="12">
        <f>E16*(373.242/349.9144)</f>
        <v>383.9999725647187</v>
      </c>
      <c r="G16" s="10">
        <f>349.9144/E16</f>
        <v>0.9719844444444444</v>
      </c>
      <c r="H16" s="10">
        <f>G16*D16</f>
        <v>0.8990856111111111</v>
      </c>
      <c r="I16">
        <v>30</v>
      </c>
      <c r="J16">
        <v>0</v>
      </c>
      <c r="K16" s="10">
        <f>E16*(0.925/D16)/240</f>
        <v>1.5000000000000002</v>
      </c>
      <c r="L16" s="14">
        <f>K16*(373.242/349.9144)</f>
        <v>1.599999885686328</v>
      </c>
      <c r="M16" s="10">
        <f>K16*(1/0.925)*1/0.3499144</f>
        <v>4.634338059884422</v>
      </c>
      <c r="N16" s="12">
        <f>M16/$M$15*100</f>
        <v>120.00000000000001</v>
      </c>
      <c r="O16" s="9">
        <f>(H16-H15)/H15</f>
        <v>-0.1666666666666666</v>
      </c>
      <c r="P16" s="9">
        <f>(M16-M15)/M15</f>
        <v>0.20000000000000018</v>
      </c>
      <c r="R16" t="s">
        <v>186</v>
      </c>
    </row>
    <row r="17" spans="1:16" ht="12.75">
      <c r="A17" s="17" t="s">
        <v>81</v>
      </c>
      <c r="B17">
        <v>11</v>
      </c>
      <c r="C17">
        <v>2</v>
      </c>
      <c r="D17" s="10">
        <f>(B17/12)+(C17/20)/12</f>
        <v>0.9249999999999999</v>
      </c>
      <c r="E17" s="12">
        <v>450</v>
      </c>
      <c r="F17" s="12">
        <f>E17*(373.242/349.9144)</f>
        <v>479.9999657058983</v>
      </c>
      <c r="G17" s="10">
        <f>349.9144/E17</f>
        <v>0.7775875555555556</v>
      </c>
      <c r="H17" s="10">
        <f>G17*D17</f>
        <v>0.7192684888888888</v>
      </c>
      <c r="I17">
        <v>37</v>
      </c>
      <c r="J17">
        <v>6</v>
      </c>
      <c r="K17" s="10">
        <f>E17*(0.925/D17)/240</f>
        <v>1.8750000000000004</v>
      </c>
      <c r="L17" s="14">
        <f>K17*(373.242/349.9144)</f>
        <v>1.9999998571079103</v>
      </c>
      <c r="M17" s="10">
        <f>K17*(1/0.925)*1/0.3499144</f>
        <v>5.7929225748555275</v>
      </c>
      <c r="N17" s="12">
        <f>M17/$M$15*100</f>
        <v>150.00000000000003</v>
      </c>
      <c r="O17" s="9">
        <f>(H17-H16)/H16</f>
        <v>-0.2</v>
      </c>
      <c r="P17" s="9">
        <f>(M17-M16)/M16</f>
        <v>0.24999999999999992</v>
      </c>
    </row>
    <row r="18" spans="1:18" ht="12.75">
      <c r="A18" s="17" t="s">
        <v>106</v>
      </c>
      <c r="B18">
        <v>11</v>
      </c>
      <c r="C18">
        <v>2</v>
      </c>
      <c r="D18" s="10">
        <f>(B18/12)+(C18/20)/12</f>
        <v>0.9249999999999999</v>
      </c>
      <c r="E18" s="12">
        <f>349.9144/373.242*F18</f>
        <v>506.25003616956286</v>
      </c>
      <c r="F18" s="12">
        <v>540</v>
      </c>
      <c r="G18" s="10">
        <f>373.242/F18</f>
        <v>0.691188888888889</v>
      </c>
      <c r="H18" s="10">
        <f>G18*D18</f>
        <v>0.6393497222222222</v>
      </c>
      <c r="I18">
        <v>45</v>
      </c>
      <c r="J18">
        <v>0</v>
      </c>
      <c r="K18" s="10">
        <f>L18*(349.9144/373.242)</f>
        <v>2.1093751507065126</v>
      </c>
      <c r="L18" s="14">
        <f>(F18/240)*0.925/D18</f>
        <v>2.2500000000000004</v>
      </c>
      <c r="M18" s="10">
        <f>K18*(1/0.925)*1/0.3499144</f>
        <v>6.517038362329085</v>
      </c>
      <c r="N18" s="12">
        <f>M18/$M$15*100</f>
        <v>168.75001205652097</v>
      </c>
      <c r="O18" s="9">
        <f>(H18-H17)/H17</f>
        <v>-0.11111117461870672</v>
      </c>
      <c r="P18" s="9">
        <f>(M18-M17)/M17</f>
        <v>0.1250000803768065</v>
      </c>
      <c r="R18" t="s">
        <v>316</v>
      </c>
    </row>
    <row r="19" spans="1:16" ht="12.75">
      <c r="A19" s="17" t="s">
        <v>115</v>
      </c>
      <c r="B19">
        <v>9</v>
      </c>
      <c r="C19">
        <v>2</v>
      </c>
      <c r="D19" s="10">
        <f>(B19/12)+(C19/20)/12</f>
        <v>0.7583333333333333</v>
      </c>
      <c r="E19" s="12">
        <f>349.9144/373.242*F19</f>
        <v>540.0000385808671</v>
      </c>
      <c r="F19" s="12">
        <v>576</v>
      </c>
      <c r="G19" s="10">
        <f>373.242/F19</f>
        <v>0.6479895833333333</v>
      </c>
      <c r="H19" s="10">
        <f>G19*D19</f>
        <v>0.49139210069444444</v>
      </c>
      <c r="I19">
        <v>48</v>
      </c>
      <c r="J19">
        <v>0</v>
      </c>
      <c r="K19" s="10">
        <f>L19*(349.9144/373.242)</f>
        <v>2.744505690589572</v>
      </c>
      <c r="L19" s="14">
        <f>(F19/240)*0.925/D19</f>
        <v>2.9274725274725277</v>
      </c>
      <c r="M19" s="10">
        <f>K19*(1/0.925)*1/0.3499144</f>
        <v>8.479311451645755</v>
      </c>
      <c r="N19" s="12">
        <f>M19/$M$15*100</f>
        <v>219.56045524716578</v>
      </c>
      <c r="O19" s="9">
        <f>(H19-H18)/H18</f>
        <v>-0.2314189189189189</v>
      </c>
      <c r="P19" s="9">
        <f>(M19-M18)/M18</f>
        <v>0.30109890109890103</v>
      </c>
    </row>
    <row r="20" spans="1:16" ht="12.75">
      <c r="A20" s="17" t="s">
        <v>116</v>
      </c>
      <c r="B20">
        <v>9</v>
      </c>
      <c r="C20">
        <v>0</v>
      </c>
      <c r="D20" s="10">
        <f>(B20/12)+(C20/20)/12</f>
        <v>0.75</v>
      </c>
      <c r="E20" s="12">
        <f>349.9144/373.242*F20</f>
        <v>540.0000385808671</v>
      </c>
      <c r="F20" s="12">
        <v>576</v>
      </c>
      <c r="G20" s="10">
        <f>373.242/F20</f>
        <v>0.6479895833333333</v>
      </c>
      <c r="H20" s="10">
        <f>G20*D20</f>
        <v>0.4859921875</v>
      </c>
      <c r="I20">
        <v>48</v>
      </c>
      <c r="J20">
        <v>0</v>
      </c>
      <c r="K20" s="10">
        <f>L20*(349.9144/373.242)</f>
        <v>2.7750001982627897</v>
      </c>
      <c r="L20" s="14">
        <f>(F20/240)*0.925/D20</f>
        <v>2.9600000000000004</v>
      </c>
      <c r="M20" s="10">
        <f>K20*(1/0.925)*1/0.3499144</f>
        <v>8.573526023330707</v>
      </c>
      <c r="N20" s="12">
        <f>M20/$M$15*100</f>
        <v>222.00001586102314</v>
      </c>
      <c r="O20" s="9">
        <f>(H20-H19)/H19</f>
        <v>-0.010989010989010978</v>
      </c>
      <c r="P20" s="9">
        <f>(M20-M19)/M19</f>
        <v>0.0111111111111111</v>
      </c>
    </row>
    <row r="21" spans="1:16" ht="12.75">
      <c r="A21" s="17" t="s">
        <v>117</v>
      </c>
      <c r="B21">
        <v>6</v>
      </c>
      <c r="C21">
        <v>0</v>
      </c>
      <c r="D21" s="10">
        <f>(B21/12)+(C21/20)/12</f>
        <v>0.5</v>
      </c>
      <c r="E21" s="12">
        <f>349.9144/373.242*F21</f>
        <v>540.0000385808671</v>
      </c>
      <c r="F21" s="12">
        <v>576</v>
      </c>
      <c r="G21" s="10">
        <f>373.242/F21</f>
        <v>0.6479895833333333</v>
      </c>
      <c r="H21" s="10">
        <f>G21*D21</f>
        <v>0.32399479166666667</v>
      </c>
      <c r="I21">
        <v>48</v>
      </c>
      <c r="J21">
        <v>0</v>
      </c>
      <c r="K21" s="10">
        <f>L21*(349.9144/373.242)</f>
        <v>4.1625002973941845</v>
      </c>
      <c r="L21" s="14">
        <f>(F21/240)*0.925/D21</f>
        <v>4.44</v>
      </c>
      <c r="M21" s="10">
        <f>K21*(1/0.925)*1/0.3499144</f>
        <v>12.860289034996061</v>
      </c>
      <c r="N21" s="12">
        <f>M21/$M$15*100</f>
        <v>333.0000237915348</v>
      </c>
      <c r="O21" s="9">
        <f>(H21-H20)/H20</f>
        <v>-0.3333333333333333</v>
      </c>
      <c r="P21" s="9">
        <f>(M21-M20)/M20</f>
        <v>0.5</v>
      </c>
    </row>
    <row r="22" spans="1:16" ht="12.75">
      <c r="A22" s="17" t="s">
        <v>118</v>
      </c>
      <c r="B22">
        <v>4</v>
      </c>
      <c r="C22">
        <v>0</v>
      </c>
      <c r="D22" s="10">
        <f>(B22/12)+(C22/20)/12</f>
        <v>0.3333333333333333</v>
      </c>
      <c r="E22" s="12">
        <f>349.9144/373.242*F22</f>
        <v>540.0000385808671</v>
      </c>
      <c r="F22" s="12">
        <v>576</v>
      </c>
      <c r="G22" s="10">
        <f>373.242/F22</f>
        <v>0.6479895833333333</v>
      </c>
      <c r="H22" s="10">
        <f>G22*D22</f>
        <v>0.21599652777777778</v>
      </c>
      <c r="I22">
        <v>48</v>
      </c>
      <c r="J22">
        <v>0</v>
      </c>
      <c r="K22" s="10">
        <f>L22*(349.9144/373.242)</f>
        <v>6.243750446091276</v>
      </c>
      <c r="L22" s="14">
        <f>(F22/240)*0.925/D22</f>
        <v>6.660000000000001</v>
      </c>
      <c r="M22" s="10">
        <f>K22*(1/0.925)*1/0.3499144</f>
        <v>19.29043355249409</v>
      </c>
      <c r="N22" s="12">
        <f>M22/$M$15*100</f>
        <v>499.500035687302</v>
      </c>
      <c r="O22" s="9">
        <f>(H22-H21)/H21</f>
        <v>-0.3333333333333333</v>
      </c>
      <c r="P22" s="9">
        <f>(M22-M21)/M21</f>
        <v>0.4999999999999999</v>
      </c>
    </row>
    <row r="23" spans="1:16" ht="12.75">
      <c r="A23" s="17" t="s">
        <v>120</v>
      </c>
      <c r="B23">
        <v>8</v>
      </c>
      <c r="C23">
        <v>0</v>
      </c>
      <c r="D23" s="10">
        <f>(B23/12)+(C23/20)/12</f>
        <v>0.6666666666666666</v>
      </c>
      <c r="E23" s="12">
        <f>349.9144/373.242*F23</f>
        <v>1080.0000771617342</v>
      </c>
      <c r="F23" s="12">
        <v>1152</v>
      </c>
      <c r="G23" s="10">
        <f>373.242/F23</f>
        <v>0.32399479166666667</v>
      </c>
      <c r="H23" s="10">
        <f>G23*D23</f>
        <v>0.21599652777777778</v>
      </c>
      <c r="I23">
        <v>96</v>
      </c>
      <c r="J23">
        <v>0</v>
      </c>
      <c r="K23" s="10">
        <f>L23*(349.9144/373.242)</f>
        <v>6.243750446091276</v>
      </c>
      <c r="L23" s="14">
        <f>(F23/240)*0.925/D23</f>
        <v>6.660000000000001</v>
      </c>
      <c r="M23" s="10">
        <f>K23*(1/0.925)*1/0.3499144</f>
        <v>19.29043355249409</v>
      </c>
      <c r="N23" s="12">
        <f>M23/$M$15*100</f>
        <v>499.500035687302</v>
      </c>
      <c r="O23" s="9">
        <f>(H23-H22)/H22</f>
        <v>0</v>
      </c>
      <c r="P23" s="9">
        <f>(M23-M22)/M22</f>
        <v>0</v>
      </c>
    </row>
    <row r="24" spans="1:16" ht="12.75">
      <c r="A24" s="17" t="s">
        <v>121</v>
      </c>
      <c r="B24">
        <v>6</v>
      </c>
      <c r="C24">
        <v>0</v>
      </c>
      <c r="D24" s="10">
        <f>(B24/12)+(C24/20)/12</f>
        <v>0.5</v>
      </c>
      <c r="E24" s="12">
        <f>349.9144/373.242*F24</f>
        <v>810.0000578713007</v>
      </c>
      <c r="F24" s="12">
        <v>864</v>
      </c>
      <c r="G24" s="10">
        <f>373.242/F24</f>
        <v>0.43199305555555556</v>
      </c>
      <c r="H24" s="10">
        <f>G24*D24</f>
        <v>0.21599652777777778</v>
      </c>
      <c r="I24">
        <v>72</v>
      </c>
      <c r="J24">
        <v>0</v>
      </c>
      <c r="K24" s="10">
        <f>L24*(349.9144/373.242)</f>
        <v>6.243750446091275</v>
      </c>
      <c r="L24" s="14">
        <f>(F24/240)*0.925/D24</f>
        <v>6.66</v>
      </c>
      <c r="M24" s="10">
        <f>K24*(1/0.925)*1/0.3499144</f>
        <v>19.290433552494086</v>
      </c>
      <c r="N24" s="12">
        <f>M24/$M$15*100</f>
        <v>499.50003568730193</v>
      </c>
      <c r="O24" s="9">
        <f>(H24-H23)/H23</f>
        <v>0</v>
      </c>
      <c r="P24" s="9">
        <f>(M24-M23)/M23</f>
        <v>0</v>
      </c>
    </row>
    <row r="25" spans="1:16" ht="12.75">
      <c r="A25" s="17" t="s">
        <v>122</v>
      </c>
      <c r="B25">
        <v>4</v>
      </c>
      <c r="C25">
        <v>0</v>
      </c>
      <c r="D25" s="10">
        <f>(B25/12)+(C25/20)/12</f>
        <v>0.3333333333333333</v>
      </c>
      <c r="E25" s="12">
        <f>349.9144/373.242*F25</f>
        <v>540.0000385808671</v>
      </c>
      <c r="F25" s="12">
        <v>576</v>
      </c>
      <c r="G25" s="10">
        <f>373.242/F25</f>
        <v>0.6479895833333333</v>
      </c>
      <c r="H25" s="10">
        <f>G25*D25</f>
        <v>0.21599652777777778</v>
      </c>
      <c r="I25">
        <v>48</v>
      </c>
      <c r="J25">
        <v>0</v>
      </c>
      <c r="K25" s="10">
        <f>L25*(349.9144/373.242)</f>
        <v>6.243750446091276</v>
      </c>
      <c r="L25" s="14">
        <f>(F25/240)*0.925/D25</f>
        <v>6.660000000000001</v>
      </c>
      <c r="M25" s="10">
        <f>K25*(1/0.925)*1/0.3499144</f>
        <v>19.29043355249409</v>
      </c>
      <c r="N25" s="12">
        <f>M25/$M$15*100</f>
        <v>499.500035687302</v>
      </c>
      <c r="O25" s="9">
        <f>(H25-H24)/H24</f>
        <v>0</v>
      </c>
      <c r="P25" s="9">
        <f>(M25-M24)/M24</f>
        <v>0</v>
      </c>
    </row>
    <row r="26" spans="1:16" ht="12.75">
      <c r="A26" s="17" t="s">
        <v>124</v>
      </c>
      <c r="B26">
        <v>3</v>
      </c>
      <c r="C26">
        <v>0</v>
      </c>
      <c r="D26" s="10">
        <f>(B26/12)+(C26/20)/12</f>
        <v>0.25</v>
      </c>
      <c r="E26" s="12">
        <f>349.9144/373.242*F26</f>
        <v>810.0000578713007</v>
      </c>
      <c r="F26" s="12">
        <v>864</v>
      </c>
      <c r="G26" s="10">
        <f>373.242/F26</f>
        <v>0.43199305555555556</v>
      </c>
      <c r="H26" s="10">
        <f>G26*D26</f>
        <v>0.10799826388888889</v>
      </c>
      <c r="I26">
        <v>72</v>
      </c>
      <c r="J26">
        <v>0</v>
      </c>
      <c r="K26" s="10">
        <f>L26*(349.9144/373.242)</f>
        <v>12.48750089218255</v>
      </c>
      <c r="L26" s="14">
        <f>(F26/240)*0.925/D26</f>
        <v>13.32</v>
      </c>
      <c r="M26" s="10">
        <f>K26*(1/0.925)*1/0.3499144</f>
        <v>38.58086710498817</v>
      </c>
      <c r="N26" s="12">
        <f>M26/$M$15*100</f>
        <v>999.0000713746039</v>
      </c>
      <c r="O26" s="9">
        <f>(H26-H25)/H25</f>
        <v>-0.5</v>
      </c>
      <c r="P26" s="9">
        <f>(M26-M25)/M25</f>
        <v>0.9999999999999997</v>
      </c>
    </row>
    <row r="27" spans="1:16" ht="12.75">
      <c r="A27" s="17" t="s">
        <v>125</v>
      </c>
      <c r="B27">
        <v>11</v>
      </c>
      <c r="C27">
        <v>1</v>
      </c>
      <c r="D27" s="10">
        <f>(B27/12)+(C27/20)/12</f>
        <v>0.9208333333333333</v>
      </c>
      <c r="E27" s="12">
        <f>349.9144/373.242*F27</f>
        <v>675.0000482260839</v>
      </c>
      <c r="F27" s="12">
        <v>720</v>
      </c>
      <c r="G27" s="10">
        <f>373.242/F27</f>
        <v>0.5183916666666667</v>
      </c>
      <c r="H27" s="10">
        <f>G27*D27</f>
        <v>0.4773523263888889</v>
      </c>
      <c r="I27">
        <v>60</v>
      </c>
      <c r="J27">
        <v>0</v>
      </c>
      <c r="K27" s="10">
        <f>L27*(349.9144/373.242)</f>
        <v>2.8252264461951477</v>
      </c>
      <c r="L27" s="14">
        <f>(F27/240)*0.925/D27</f>
        <v>3.0135746606334846</v>
      </c>
      <c r="M27" s="10">
        <f>K27*(1/0.925)*1/0.3499144</f>
        <v>8.728702964929452</v>
      </c>
      <c r="N27" s="12">
        <f>M27/$M$15*100</f>
        <v>226.01811569561175</v>
      </c>
      <c r="O27" s="9">
        <f>(H27-H26)/H26</f>
        <v>3.4200000000000004</v>
      </c>
      <c r="P27" s="9">
        <f>(M27-M26)/M26</f>
        <v>-0.7737556561085972</v>
      </c>
    </row>
    <row r="28" spans="1:18" ht="12.75">
      <c r="A28" s="17" t="s">
        <v>129</v>
      </c>
      <c r="B28">
        <v>11</v>
      </c>
      <c r="C28">
        <v>0</v>
      </c>
      <c r="D28" s="10">
        <f>(B28/12)+(C28/20)/12</f>
        <v>0.9166666666666666</v>
      </c>
      <c r="E28" s="12">
        <f>349.9144/373.242*F28</f>
        <v>675.0000482260839</v>
      </c>
      <c r="F28" s="12">
        <v>720</v>
      </c>
      <c r="G28" s="10">
        <f>373.242/F28</f>
        <v>0.5183916666666667</v>
      </c>
      <c r="H28" s="10">
        <f>G28*D28</f>
        <v>0.47519236111111113</v>
      </c>
      <c r="I28">
        <v>60</v>
      </c>
      <c r="J28">
        <v>0</v>
      </c>
      <c r="K28" s="10">
        <f>L28*(349.9144/373.242)</f>
        <v>2.838068384586944</v>
      </c>
      <c r="L28" s="14">
        <f>(F28/240)*0.925/D28</f>
        <v>3.027272727272728</v>
      </c>
      <c r="M28" s="10">
        <f>K28*(1/0.925)*1/0.3499144</f>
        <v>8.768378887497313</v>
      </c>
      <c r="N28" s="12">
        <f>M28/$M$15*100</f>
        <v>227.04547076695545</v>
      </c>
      <c r="O28" s="9">
        <f>(H28-H27)/H27</f>
        <v>-0.004524886877828073</v>
      </c>
      <c r="P28" s="9">
        <f>(M28-M27)/M27</f>
        <v>0.004545454545454543</v>
      </c>
      <c r="R28" t="s">
        <v>278</v>
      </c>
    </row>
    <row r="29" spans="1:16" ht="12.75">
      <c r="A29" s="17" t="s">
        <v>134</v>
      </c>
      <c r="B29">
        <v>11</v>
      </c>
      <c r="C29">
        <v>2</v>
      </c>
      <c r="D29" s="10">
        <f>(B29/12)+(C29/20)/12</f>
        <v>0.9249999999999999</v>
      </c>
      <c r="E29" s="12">
        <f>349.9144/373.242*F29</f>
        <v>675.0000482260839</v>
      </c>
      <c r="F29" s="12">
        <v>720</v>
      </c>
      <c r="G29" s="10">
        <f>373.242/F29</f>
        <v>0.5183916666666667</v>
      </c>
      <c r="H29" s="10">
        <f>G29*D29</f>
        <v>0.47951229166666665</v>
      </c>
      <c r="I29">
        <v>60</v>
      </c>
      <c r="J29">
        <v>0</v>
      </c>
      <c r="K29" s="10">
        <f>L29*(349.9144/373.242)</f>
        <v>2.8125002009420164</v>
      </c>
      <c r="L29" s="14">
        <f>(F29/240)*0.925/D29</f>
        <v>3.0000000000000004</v>
      </c>
      <c r="M29" s="10">
        <f>K29*(1/0.925)*1/0.3499144</f>
        <v>8.689384483105446</v>
      </c>
      <c r="N29" s="12">
        <f>M29/$M$15*100</f>
        <v>225.00001607536126</v>
      </c>
      <c r="O29" s="9">
        <f>(H29-H28)/H28</f>
        <v>0.00909090909090901</v>
      </c>
      <c r="P29" s="9">
        <f>(M29-M28)/M28</f>
        <v>-0.009009009009008969</v>
      </c>
    </row>
    <row r="30" spans="1:18" ht="12.75">
      <c r="A30" s="17" t="s">
        <v>143</v>
      </c>
      <c r="B30">
        <v>11</v>
      </c>
      <c r="C30">
        <v>1</v>
      </c>
      <c r="D30" s="10">
        <f>(B30/12)+(C30/20)/12</f>
        <v>0.9208333333333333</v>
      </c>
      <c r="E30" s="12">
        <f>349.9144/373.242*F30</f>
        <v>677.8125484270258</v>
      </c>
      <c r="F30" s="12">
        <v>723</v>
      </c>
      <c r="G30" s="10">
        <f>373.242/F30</f>
        <v>0.516240663900415</v>
      </c>
      <c r="H30" s="10">
        <f>G30*D30</f>
        <v>0.47537161134163214</v>
      </c>
      <c r="I30">
        <v>60</v>
      </c>
      <c r="J30">
        <v>3</v>
      </c>
      <c r="K30" s="10">
        <f>L30*(349.9144/373.242)</f>
        <v>2.8369982230542945</v>
      </c>
      <c r="L30" s="14">
        <f>(F30/240)*0.925/D30</f>
        <v>3.026131221719458</v>
      </c>
      <c r="M30" s="10">
        <f>K30*(1/0.925)*1/0.3499144</f>
        <v>8.765072560616659</v>
      </c>
      <c r="N30" s="12">
        <f>M30/$M$15*100</f>
        <v>226.9598578443435</v>
      </c>
      <c r="O30" s="9">
        <f>(H30-H29)/H29</f>
        <v>-0.008635191207805168</v>
      </c>
      <c r="P30" s="9">
        <f>(M30-M29)/M29</f>
        <v>0.00871040723981905</v>
      </c>
      <c r="R30" t="s">
        <v>289</v>
      </c>
    </row>
    <row r="31" spans="1:16" ht="12.75">
      <c r="A31" s="17" t="s">
        <v>146</v>
      </c>
      <c r="B31">
        <v>11</v>
      </c>
      <c r="C31">
        <v>2</v>
      </c>
      <c r="D31" s="10">
        <f>(B31/12)+(C31/20)/12</f>
        <v>0.9249999999999999</v>
      </c>
      <c r="E31" s="12">
        <f>349.9144/373.242*F31</f>
        <v>675.0000482260839</v>
      </c>
      <c r="F31" s="12">
        <v>720</v>
      </c>
      <c r="G31" s="10">
        <f>373.242/F31</f>
        <v>0.5183916666666667</v>
      </c>
      <c r="H31" s="10">
        <f>G31*D31</f>
        <v>0.47951229166666665</v>
      </c>
      <c r="I31">
        <v>60</v>
      </c>
      <c r="J31">
        <v>0</v>
      </c>
      <c r="K31" s="10">
        <f>L31*(349.9144/373.242)</f>
        <v>2.8125002009420164</v>
      </c>
      <c r="L31" s="14">
        <f>(F31/240)*0.925/D31</f>
        <v>3.0000000000000004</v>
      </c>
      <c r="M31" s="10">
        <f>K31*(1/0.925)*1/0.3499144</f>
        <v>8.689384483105446</v>
      </c>
      <c r="N31" s="12">
        <f>M31/$M$15*100</f>
        <v>225.00001607536126</v>
      </c>
      <c r="O31" s="9">
        <f>(H31-H30)/H30</f>
        <v>0.008710407239818854</v>
      </c>
      <c r="P31" s="9">
        <f>(M31-M30)/M30</f>
        <v>-0.00863519120780536</v>
      </c>
    </row>
    <row r="32" spans="1:18" ht="12.75">
      <c r="A32" s="17" t="s">
        <v>154</v>
      </c>
      <c r="B32">
        <v>11</v>
      </c>
      <c r="C32">
        <v>2</v>
      </c>
      <c r="D32" s="10">
        <f>(B32/12)+(C32/20)/12</f>
        <v>0.9249999999999999</v>
      </c>
      <c r="E32" s="12">
        <f>349.9144/373.242*F32</f>
        <v>697.50004983362</v>
      </c>
      <c r="F32" s="12">
        <v>744</v>
      </c>
      <c r="G32" s="10">
        <f>373.242/F32</f>
        <v>0.5016693548387097</v>
      </c>
      <c r="H32" s="10">
        <f>G32*D32</f>
        <v>0.4640441532258064</v>
      </c>
      <c r="I32">
        <v>62</v>
      </c>
      <c r="J32">
        <v>0</v>
      </c>
      <c r="K32" s="10">
        <f>L32*(349.9144/373.242)</f>
        <v>2.906250207640084</v>
      </c>
      <c r="L32" s="14">
        <f>(F32/240)*0.925/D32</f>
        <v>3.1000000000000005</v>
      </c>
      <c r="M32" s="10">
        <f>K32*(1/0.925)*1/0.3499144</f>
        <v>8.979030632542294</v>
      </c>
      <c r="N32" s="12">
        <f>M32/$M$15*100</f>
        <v>232.50001661120666</v>
      </c>
      <c r="O32" s="9">
        <f>(H32-H31)/H31</f>
        <v>-0.03225806451612912</v>
      </c>
      <c r="P32" s="9">
        <f>(M32-M31)/M31</f>
        <v>0.03333333333333332</v>
      </c>
      <c r="R32" t="s">
        <v>279</v>
      </c>
    </row>
    <row r="33" spans="1:18" ht="12.75">
      <c r="A33" s="17" t="s">
        <v>155</v>
      </c>
      <c r="B33">
        <v>11</v>
      </c>
      <c r="C33">
        <v>2</v>
      </c>
      <c r="D33" s="10">
        <f>(B33/12)+(C33/20)/12</f>
        <v>0.9249999999999999</v>
      </c>
      <c r="E33" s="12">
        <f>349.9144/373.242*F33</f>
        <v>793.1250566656486</v>
      </c>
      <c r="F33" s="12">
        <v>846</v>
      </c>
      <c r="G33" s="10">
        <f>373.242/F33</f>
        <v>0.4411843971631206</v>
      </c>
      <c r="H33" s="10">
        <f>G33*D33</f>
        <v>0.4080955673758865</v>
      </c>
      <c r="I33">
        <v>70</v>
      </c>
      <c r="J33">
        <v>6</v>
      </c>
      <c r="K33" s="10">
        <f>L33*(349.9144/373.242)</f>
        <v>3.304687736106869</v>
      </c>
      <c r="L33" s="14">
        <f>(F33/240)*0.925/D33</f>
        <v>3.5250000000000004</v>
      </c>
      <c r="M33" s="10">
        <f>K33*(1/0.925)*1/0.3499144</f>
        <v>10.2100267676489</v>
      </c>
      <c r="N33" s="12">
        <f>M33/$M$15*100</f>
        <v>264.37501888854956</v>
      </c>
      <c r="O33" s="9">
        <f>(H33-H32)/H32</f>
        <v>-0.1205673758865248</v>
      </c>
      <c r="P33" s="9">
        <f>(M33-M32)/M32</f>
        <v>0.13709677419354854</v>
      </c>
      <c r="R33" t="s">
        <v>292</v>
      </c>
    </row>
    <row r="34" spans="1:16" ht="12.75">
      <c r="A34" s="17" t="s">
        <v>156</v>
      </c>
      <c r="B34">
        <v>11</v>
      </c>
      <c r="C34">
        <v>2</v>
      </c>
      <c r="D34" s="10">
        <f>(B34/12)+(C34/20)/12</f>
        <v>0.9249999999999999</v>
      </c>
      <c r="E34" s="12">
        <f>349.9144/373.242*F34</f>
        <v>697.50004983362</v>
      </c>
      <c r="F34" s="12">
        <v>744</v>
      </c>
      <c r="G34" s="10">
        <f>373.242/F34</f>
        <v>0.5016693548387097</v>
      </c>
      <c r="H34" s="10">
        <f>G34*D34</f>
        <v>0.4640441532258064</v>
      </c>
      <c r="I34">
        <v>62</v>
      </c>
      <c r="J34">
        <v>0</v>
      </c>
      <c r="K34" s="10">
        <f>L34*(349.9144/373.242)</f>
        <v>2.906250207640084</v>
      </c>
      <c r="L34" s="14">
        <f>(F34/240)*0.925/D34</f>
        <v>3.1000000000000005</v>
      </c>
      <c r="M34" s="10">
        <f>K34*(1/0.925)*1/0.3499144</f>
        <v>8.979030632542294</v>
      </c>
      <c r="N34" s="12">
        <f>M34/$M$15*100</f>
        <v>232.50001661120666</v>
      </c>
      <c r="O34" s="9">
        <f>(H34-H33)/H33</f>
        <v>0.13709677419354835</v>
      </c>
      <c r="P34" s="9">
        <f>(M34-M33)/M33</f>
        <v>-0.12056737588652493</v>
      </c>
    </row>
    <row r="35" spans="1:18" ht="12.75">
      <c r="A35" s="17" t="s">
        <v>157</v>
      </c>
      <c r="B35">
        <v>11</v>
      </c>
      <c r="C35">
        <v>2</v>
      </c>
      <c r="D35" s="10">
        <f>(B35/12)+(C35/20)/12</f>
        <v>0.9249999999999999</v>
      </c>
      <c r="E35" s="12">
        <f>349.9144/373.242*F35</f>
        <v>697.50004983362</v>
      </c>
      <c r="F35" s="12">
        <v>744</v>
      </c>
      <c r="G35" s="10">
        <f>373.242/F35</f>
        <v>0.5016693548387097</v>
      </c>
      <c r="H35" s="10">
        <f>G35*D35</f>
        <v>0.4640441532258064</v>
      </c>
      <c r="I35">
        <v>62</v>
      </c>
      <c r="J35">
        <v>0</v>
      </c>
      <c r="K35" s="10">
        <f>L35*(349.9144/373.242)</f>
        <v>2.906250207640084</v>
      </c>
      <c r="L35" s="14">
        <f>(F35/240)*0.925/D35</f>
        <v>3.1000000000000005</v>
      </c>
      <c r="M35" s="10">
        <f>K35*(1/0.925)*1/0.3499144</f>
        <v>8.979030632542294</v>
      </c>
      <c r="N35" s="12">
        <f>M35/$M$15*100</f>
        <v>232.50001661120666</v>
      </c>
      <c r="O35" s="9">
        <f>(H35-H34)/H34</f>
        <v>0</v>
      </c>
      <c r="P35" s="9">
        <f>(M35-M34)/M34</f>
        <v>0</v>
      </c>
      <c r="R35" t="s">
        <v>177</v>
      </c>
    </row>
    <row r="36" spans="1:16" ht="12.75">
      <c r="A36" s="17" t="s">
        <v>158</v>
      </c>
      <c r="B36">
        <v>11</v>
      </c>
      <c r="C36">
        <v>2</v>
      </c>
      <c r="D36" s="10">
        <f>(B36/12)+(C36/20)/12</f>
        <v>0.9249999999999999</v>
      </c>
      <c r="E36" s="12">
        <f>349.9144/373.242*F36</f>
        <v>742.5000530486923</v>
      </c>
      <c r="F36" s="12">
        <v>792</v>
      </c>
      <c r="G36" s="10">
        <f>373.242/F36</f>
        <v>0.4712651515151515</v>
      </c>
      <c r="H36" s="10">
        <f>G36*D36</f>
        <v>0.4359202651515151</v>
      </c>
      <c r="I36">
        <v>66</v>
      </c>
      <c r="J36">
        <v>0</v>
      </c>
      <c r="K36" s="10">
        <f>L36*(349.9144/373.242)</f>
        <v>3.0937502210362173</v>
      </c>
      <c r="L36" s="14">
        <f>(F36/240)*0.925/D36</f>
        <v>3.3</v>
      </c>
      <c r="M36" s="10">
        <f>K36*(1/0.925)*1/0.3499144</f>
        <v>9.558322931415988</v>
      </c>
      <c r="N36" s="12">
        <f>M36/$M$15*100</f>
        <v>247.50001768289738</v>
      </c>
      <c r="O36" s="9">
        <f>(H36-H35)/H35</f>
        <v>-0.06060606060606057</v>
      </c>
      <c r="P36" s="9">
        <f>(M36-M35)/M35</f>
        <v>0.06451612903225784</v>
      </c>
    </row>
    <row r="37" spans="1:16" ht="12.75">
      <c r="A37" s="17"/>
      <c r="D37" s="10"/>
      <c r="E37" s="12"/>
      <c r="F37" s="12"/>
      <c r="G37" s="10"/>
      <c r="K37" s="10"/>
      <c r="L37" s="14"/>
      <c r="M37" s="10"/>
      <c r="N37" s="12"/>
      <c r="O37" s="9"/>
      <c r="P37" s="9"/>
    </row>
    <row r="38" spans="1:16" ht="12.75">
      <c r="A38" s="17"/>
      <c r="D38" s="10"/>
      <c r="E38" s="12"/>
      <c r="F38" s="12"/>
      <c r="G38" s="10"/>
      <c r="K38" s="10"/>
      <c r="L38" s="14"/>
      <c r="M38" s="10"/>
      <c r="N38" s="12"/>
      <c r="O38" s="9"/>
      <c r="P38" s="9"/>
    </row>
    <row r="39" spans="1:18" ht="12.75">
      <c r="A39" s="17" t="s">
        <v>128</v>
      </c>
      <c r="B39">
        <v>4</v>
      </c>
      <c r="C39">
        <v>0</v>
      </c>
      <c r="D39" s="10">
        <f>(B39/12)+(C39/20)/12</f>
        <v>0.3333333333333333</v>
      </c>
      <c r="E39" s="12">
        <f>349.9144/373.242*F39</f>
        <v>450.0000321507226</v>
      </c>
      <c r="F39" s="12">
        <v>480</v>
      </c>
      <c r="G39" s="10">
        <f>373.242/F39</f>
        <v>0.7775875</v>
      </c>
      <c r="H39" s="10">
        <f>G39*D39</f>
        <v>0.2591958333333333</v>
      </c>
      <c r="I39">
        <v>40</v>
      </c>
      <c r="J39">
        <v>0</v>
      </c>
      <c r="K39" s="10">
        <f>L39*(349.9144/373.242)</f>
        <v>5.20312537174273</v>
      </c>
      <c r="L39" s="14">
        <f>(F39/240)*0.925/D39</f>
        <v>5.550000000000001</v>
      </c>
      <c r="M39" s="10">
        <f>K39*(1/0.925)*1/0.3499144</f>
        <v>16.075361293745075</v>
      </c>
      <c r="N39" s="12">
        <f>M39/$M$15*100</f>
        <v>416.2500297394184</v>
      </c>
      <c r="O39" s="9">
        <f>(H39-H27)/H27</f>
        <v>-0.4570135746606336</v>
      </c>
      <c r="P39" s="9">
        <f>(M39-M27)/M27</f>
        <v>0.8416666666666668</v>
      </c>
      <c r="R39" t="s">
        <v>3</v>
      </c>
    </row>
    <row r="40" spans="1:18" ht="12.75">
      <c r="A40" s="17" t="s">
        <v>128</v>
      </c>
      <c r="B40">
        <v>3</v>
      </c>
      <c r="C40">
        <v>0</v>
      </c>
      <c r="D40" s="10">
        <f>(B40/12)+(C40/20)/12</f>
        <v>0.25</v>
      </c>
      <c r="E40" s="12">
        <f>349.9144/373.242*F40</f>
        <v>405.00002893565033</v>
      </c>
      <c r="F40" s="12">
        <v>432</v>
      </c>
      <c r="G40" s="10">
        <f>373.242/F40</f>
        <v>0.8639861111111111</v>
      </c>
      <c r="H40" s="10">
        <f>G40*D40</f>
        <v>0.21599652777777778</v>
      </c>
      <c r="I40">
        <v>36</v>
      </c>
      <c r="J40">
        <v>0</v>
      </c>
      <c r="K40" s="10">
        <f>L40*(349.9144/373.242)</f>
        <v>6.243750446091275</v>
      </c>
      <c r="L40" s="14">
        <f>(F40/240)*0.925/D40</f>
        <v>6.66</v>
      </c>
      <c r="M40" s="10">
        <f>K40*(1/0.925)*1/0.3499144</f>
        <v>19.290433552494086</v>
      </c>
      <c r="N40" s="12">
        <f>M40/$M$15*100</f>
        <v>499.50003568730193</v>
      </c>
      <c r="O40" s="9">
        <f>(H40-H39)/H39</f>
        <v>-0.16666666666666652</v>
      </c>
      <c r="P40" s="9">
        <f>(M40-M39)/M39</f>
        <v>0.19999999999999973</v>
      </c>
      <c r="R40" t="s">
        <v>306</v>
      </c>
    </row>
    <row r="41" spans="1:18" ht="12.75">
      <c r="A41" s="17" t="s">
        <v>152</v>
      </c>
      <c r="B41">
        <v>11</v>
      </c>
      <c r="C41">
        <v>2</v>
      </c>
      <c r="D41" s="10">
        <f>(B41/12)+(C41/20)/12</f>
        <v>0.9249999999999999</v>
      </c>
      <c r="E41" s="12">
        <f>349.9144/373.242*F41</f>
        <v>1226.250087610719</v>
      </c>
      <c r="F41" s="12">
        <v>1308</v>
      </c>
      <c r="G41" s="10">
        <f>373.242/F41</f>
        <v>0.2853532110091743</v>
      </c>
      <c r="H41" s="10">
        <f>G41*D41</f>
        <v>0.2639517201834862</v>
      </c>
      <c r="I41">
        <v>109</v>
      </c>
      <c r="J41">
        <v>0</v>
      </c>
      <c r="K41" s="10">
        <f>L41*(349.9144/373.242)</f>
        <v>5.109375365044664</v>
      </c>
      <c r="L41" s="14">
        <f>(F41/240)*0.925/D41</f>
        <v>5.450000000000001</v>
      </c>
      <c r="M41" s="10">
        <f>K41*(1/0.925)*1/0.3499144</f>
        <v>15.785715144308229</v>
      </c>
      <c r="N41" s="12">
        <f>M41/$M$15*100</f>
        <v>408.7500292035731</v>
      </c>
      <c r="O41" s="9">
        <f>(H41-H31)/H31</f>
        <v>-0.44954128440366975</v>
      </c>
      <c r="P41" s="9">
        <f>(M41-M31)/M31</f>
        <v>0.816666666666667</v>
      </c>
      <c r="R41" t="s">
        <v>196</v>
      </c>
    </row>
    <row r="42" spans="1:16" ht="12.75">
      <c r="A42" s="17"/>
      <c r="D42" s="10"/>
      <c r="E42" s="12"/>
      <c r="F42" s="12"/>
      <c r="G42" s="10"/>
      <c r="K42" s="10"/>
      <c r="L42" s="14"/>
      <c r="M42" s="10"/>
      <c r="N42" s="12"/>
      <c r="O42" s="9"/>
      <c r="P42" s="9"/>
    </row>
    <row r="43" spans="1:16" ht="12.75">
      <c r="A43" s="17"/>
      <c r="D43" s="10"/>
      <c r="E43" s="12"/>
      <c r="F43" s="12"/>
      <c r="G43" s="10"/>
      <c r="K43" s="10"/>
      <c r="L43" s="14"/>
      <c r="M43" s="10"/>
      <c r="N43" s="12"/>
      <c r="O43" s="9"/>
      <c r="P43" s="9"/>
    </row>
    <row r="44" spans="1:16" ht="12.75">
      <c r="A44" s="17"/>
      <c r="D44" s="10"/>
      <c r="E44" s="12"/>
      <c r="F44" s="12"/>
      <c r="G44" s="10"/>
      <c r="K44" s="10"/>
      <c r="L44" s="14"/>
      <c r="M44" s="10"/>
      <c r="N44" s="12"/>
      <c r="O44" s="9"/>
      <c r="P44" s="9"/>
    </row>
    <row r="45" spans="1:16" ht="12.75">
      <c r="A45" s="17"/>
      <c r="D45" s="10"/>
      <c r="E45" s="12"/>
      <c r="F45" s="12"/>
      <c r="G45" s="10"/>
      <c r="K45" s="10"/>
      <c r="L45" s="14"/>
      <c r="M45" s="10"/>
      <c r="N45" s="12"/>
      <c r="O45" s="9"/>
      <c r="P45" s="9"/>
    </row>
    <row r="46" spans="1:16" ht="12.75">
      <c r="A46" s="17"/>
      <c r="D46" s="10"/>
      <c r="E46" s="12"/>
      <c r="F46" s="12"/>
      <c r="G46" s="10"/>
      <c r="K46" s="10"/>
      <c r="L46" s="14"/>
      <c r="M46" s="10"/>
      <c r="N46" s="12"/>
      <c r="O46" s="9"/>
      <c r="P46" s="9"/>
    </row>
    <row r="47" spans="1:16" ht="12.75">
      <c r="A47" s="17"/>
      <c r="D47" s="10"/>
      <c r="E47" s="12"/>
      <c r="F47" s="12"/>
      <c r="G47" s="10"/>
      <c r="K47" s="10"/>
      <c r="L47" s="14"/>
      <c r="M47" s="10"/>
      <c r="N47" s="12"/>
      <c r="O47" s="9"/>
      <c r="P47" s="9"/>
    </row>
    <row r="48" spans="1:16" ht="12.75">
      <c r="A48" s="17"/>
      <c r="D48" s="10"/>
      <c r="E48" s="12"/>
      <c r="F48" s="12"/>
      <c r="G48" s="10"/>
      <c r="K48" s="10"/>
      <c r="L48" s="14"/>
      <c r="M48" s="10"/>
      <c r="N48" s="12"/>
      <c r="O48" s="9"/>
      <c r="P48" s="9"/>
    </row>
    <row r="49" spans="1:16" ht="12.75">
      <c r="A49" s="17"/>
      <c r="D49" s="10"/>
      <c r="E49" s="12"/>
      <c r="F49" s="12"/>
      <c r="G49" s="10"/>
      <c r="K49" s="10"/>
      <c r="L49" s="14"/>
      <c r="M49" s="10"/>
      <c r="N49" s="12"/>
      <c r="O49" s="9"/>
      <c r="P49" s="9"/>
    </row>
    <row r="50" spans="1:16" ht="12.75">
      <c r="A50" s="17"/>
      <c r="D50" s="10"/>
      <c r="E50" s="12"/>
      <c r="F50" s="12"/>
      <c r="G50" s="10"/>
      <c r="K50" s="10"/>
      <c r="L50" s="14"/>
      <c r="M50" s="10"/>
      <c r="N50" s="12"/>
      <c r="O50" s="9"/>
      <c r="P50" s="9"/>
    </row>
    <row r="51" spans="1:16" ht="12.75">
      <c r="A51" s="17"/>
      <c r="D51" s="10"/>
      <c r="E51" s="12"/>
      <c r="F51" s="12"/>
      <c r="G51" s="10"/>
      <c r="K51" s="10"/>
      <c r="L51" s="14"/>
      <c r="M51" s="10"/>
      <c r="N51" s="12"/>
      <c r="O51" s="9"/>
      <c r="P51" s="9"/>
    </row>
    <row r="52" spans="1:16" ht="12.75">
      <c r="A52" s="17"/>
      <c r="D52" s="10"/>
      <c r="E52" s="12"/>
      <c r="F52" s="12"/>
      <c r="G52" s="10"/>
      <c r="K52" s="10"/>
      <c r="L52" s="14"/>
      <c r="M52" s="10"/>
      <c r="N52" s="12"/>
      <c r="O52" s="9"/>
      <c r="P52" s="9"/>
    </row>
    <row r="53" spans="1:16" ht="12.75">
      <c r="A53" s="17"/>
      <c r="D53" s="10"/>
      <c r="E53" s="12"/>
      <c r="F53" s="12"/>
      <c r="G53" s="10"/>
      <c r="K53" s="10"/>
      <c r="L53" s="14"/>
      <c r="M53" s="10"/>
      <c r="N53" s="12"/>
      <c r="O53" s="9"/>
      <c r="P53" s="9"/>
    </row>
    <row r="54" spans="1:16" ht="12.75">
      <c r="A54" s="17"/>
      <c r="D54" s="10"/>
      <c r="E54" s="12"/>
      <c r="F54" s="12"/>
      <c r="G54" s="10"/>
      <c r="K54" s="10"/>
      <c r="L54" s="14"/>
      <c r="M54" s="10"/>
      <c r="N54" s="12"/>
      <c r="O54" s="9"/>
      <c r="P54" s="9"/>
    </row>
    <row r="55" spans="1:16" ht="12.75">
      <c r="A55" s="17"/>
      <c r="D55" s="10"/>
      <c r="E55" s="12"/>
      <c r="F55" s="12"/>
      <c r="G55" s="10"/>
      <c r="K55" s="10"/>
      <c r="L55" s="14"/>
      <c r="M55" s="10"/>
      <c r="N55" s="12"/>
      <c r="O55" s="9"/>
      <c r="P55" s="9"/>
    </row>
    <row r="56" spans="1:16" ht="12.75">
      <c r="A56" s="17"/>
      <c r="D56" s="10"/>
      <c r="E56" s="12"/>
      <c r="F56" s="12"/>
      <c r="G56" s="10"/>
      <c r="K56" s="10"/>
      <c r="L56" s="14"/>
      <c r="M56" s="10"/>
      <c r="N56" s="12"/>
      <c r="O56" s="9"/>
      <c r="P56" s="9"/>
    </row>
    <row r="57" spans="1:16" ht="12.75">
      <c r="A57" s="17"/>
      <c r="D57" s="10"/>
      <c r="E57" s="12"/>
      <c r="F57" s="12"/>
      <c r="G57" s="10"/>
      <c r="K57" s="10"/>
      <c r="L57" s="14"/>
      <c r="M57" s="10"/>
      <c r="N57" s="12"/>
      <c r="O57" s="9"/>
      <c r="P57" s="9"/>
    </row>
    <row r="58" spans="1:16" ht="12.75">
      <c r="A58" s="17"/>
      <c r="D58" s="10"/>
      <c r="E58" s="12"/>
      <c r="F58" s="12"/>
      <c r="G58" s="10"/>
      <c r="K58" s="10"/>
      <c r="L58" s="14"/>
      <c r="M58" s="10"/>
      <c r="N58" s="12"/>
      <c r="O58" s="9"/>
      <c r="P58" s="9"/>
    </row>
    <row r="59" spans="1:16" ht="12.75">
      <c r="A59" s="17"/>
      <c r="D59" s="10"/>
      <c r="E59" s="12"/>
      <c r="F59" s="12"/>
      <c r="G59" s="10"/>
      <c r="K59" s="10"/>
      <c r="L59" s="14"/>
      <c r="M59" s="10"/>
      <c r="N59" s="12"/>
      <c r="O59" s="9"/>
      <c r="P59" s="9"/>
    </row>
    <row r="60" spans="1:16" ht="12.75">
      <c r="A60" s="17"/>
      <c r="D60" s="10"/>
      <c r="E60" s="12"/>
      <c r="F60" s="12"/>
      <c r="G60" s="10"/>
      <c r="K60" s="10"/>
      <c r="L60" s="14"/>
      <c r="M60" s="10"/>
      <c r="N60" s="12"/>
      <c r="O60" s="9"/>
      <c r="P60" s="9"/>
    </row>
    <row r="61" spans="1:16" ht="12.75">
      <c r="A61" s="17"/>
      <c r="D61" s="10"/>
      <c r="E61" s="12"/>
      <c r="F61" s="12"/>
      <c r="G61" s="10"/>
      <c r="K61" s="10"/>
      <c r="L61" s="14"/>
      <c r="M61" s="10"/>
      <c r="N61" s="12"/>
      <c r="O61" s="9"/>
      <c r="P61" s="9"/>
    </row>
    <row r="62" spans="1:16" ht="12.75">
      <c r="A62" s="17"/>
      <c r="D62" s="10"/>
      <c r="E62" s="12"/>
      <c r="F62" s="12"/>
      <c r="G62" s="10"/>
      <c r="K62" s="10"/>
      <c r="L62" s="14"/>
      <c r="M62" s="10"/>
      <c r="N62" s="12"/>
      <c r="O62" s="9"/>
      <c r="P62" s="9"/>
    </row>
    <row r="63" spans="1:16" ht="12.75">
      <c r="A63" s="17"/>
      <c r="D63" s="10"/>
      <c r="E63" s="12"/>
      <c r="F63" s="12"/>
      <c r="G63" s="10"/>
      <c r="K63" s="10"/>
      <c r="L63" s="14"/>
      <c r="M63" s="10"/>
      <c r="N63" s="12"/>
      <c r="O63" s="9"/>
      <c r="P63" s="9"/>
    </row>
    <row r="64" spans="1:16" ht="12.75">
      <c r="A64" s="17"/>
      <c r="D64" s="10"/>
      <c r="E64" s="12"/>
      <c r="F64" s="12"/>
      <c r="G64" s="10"/>
      <c r="K64" s="10"/>
      <c r="L64" s="14"/>
      <c r="M64" s="10"/>
      <c r="N64" s="12"/>
      <c r="O64" s="9"/>
      <c r="P64" s="9"/>
    </row>
    <row r="65" spans="1:14" ht="12.75">
      <c r="A65" s="17"/>
      <c r="D65" s="10"/>
      <c r="E65" s="12"/>
      <c r="F65" s="12"/>
      <c r="G65" s="10"/>
      <c r="K65" s="10"/>
      <c r="L65" s="14"/>
      <c r="M65" s="10"/>
      <c r="N65" s="12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Q80"/>
  <sheetViews>
    <sheetView defaultGridColor="0" colorId="0" workbookViewId="0" topLeftCell="A1">
      <pane xSplit="1" ySplit="7" topLeftCell="B8" activePane="bottomRight" state="frozen"/>
      <selection pane="bottomRight" activeCell="B8" sqref="B8"/>
    </sheetView>
  </sheetViews>
  <sheetFormatPr defaultColWidth="9.140625" defaultRowHeight="12.75"/>
  <cols>
    <col min="1" max="1" width="9.8515625" style="52" customWidth="1"/>
    <col min="2" max="2" width="11.7109375" style="0" customWidth="1"/>
    <col min="3" max="3" width="10.57421875" style="0" customWidth="1"/>
    <col min="4" max="4" width="10.7109375" style="0" customWidth="1"/>
    <col min="5" max="5" width="12.8515625" style="0" customWidth="1"/>
    <col min="6" max="6" width="10.140625" style="47" customWidth="1"/>
    <col min="7" max="7" width="9.7109375" style="0" customWidth="1"/>
    <col min="8" max="8" width="10.57421875" style="0" customWidth="1"/>
    <col min="9" max="9" width="10.140625" style="0" customWidth="1"/>
    <col min="10" max="10" width="11.8515625" style="0" customWidth="1"/>
    <col min="11" max="11" width="10.00390625" style="20" customWidth="1"/>
    <col min="12" max="12" width="12.140625" style="0" customWidth="1"/>
    <col min="14" max="14" width="8.7109375" style="0" customWidth="1"/>
    <col min="15" max="15" width="8.57421875" style="0" customWidth="1"/>
    <col min="17" max="17" width="14.140625" style="0" customWidth="1"/>
  </cols>
  <sheetData>
    <row r="1" spans="1:15" ht="12.75">
      <c r="A1" s="46"/>
      <c r="B1" s="35" t="s">
        <v>2</v>
      </c>
      <c r="D1" s="34"/>
      <c r="E1" s="34"/>
      <c r="F1" s="47"/>
      <c r="G1" s="34"/>
      <c r="H1" s="34"/>
      <c r="I1" s="34"/>
      <c r="J1" s="34"/>
      <c r="K1" s="36"/>
      <c r="L1" s="34"/>
      <c r="N1" s="4"/>
      <c r="O1" s="4"/>
    </row>
    <row r="2" spans="1:15" ht="12.75">
      <c r="A2" s="46"/>
      <c r="B2" s="36"/>
      <c r="D2" s="34"/>
      <c r="E2" s="34"/>
      <c r="F2" s="47"/>
      <c r="G2" s="34"/>
      <c r="H2" s="34"/>
      <c r="I2" s="34"/>
      <c r="J2" s="34"/>
      <c r="K2" s="36"/>
      <c r="L2" s="34"/>
      <c r="N2" s="4"/>
      <c r="O2" s="4"/>
    </row>
    <row r="3" spans="1:15" ht="12.75">
      <c r="A3" s="46"/>
      <c r="B3" s="37" t="s">
        <v>285</v>
      </c>
      <c r="D3" s="34"/>
      <c r="E3" s="34"/>
      <c r="F3" s="47"/>
      <c r="G3" s="35" t="s">
        <v>201</v>
      </c>
      <c r="H3" s="34"/>
      <c r="I3" s="34"/>
      <c r="J3" s="34"/>
      <c r="K3" s="36"/>
      <c r="L3" s="34"/>
      <c r="N3" s="4"/>
      <c r="O3" s="4"/>
    </row>
    <row r="4" spans="1:17" ht="12.75">
      <c r="A4" s="46"/>
      <c r="B4" s="34"/>
      <c r="C4" s="34"/>
      <c r="D4" s="34"/>
      <c r="E4" s="34"/>
      <c r="F4" s="48"/>
      <c r="G4" s="34"/>
      <c r="H4" s="34"/>
      <c r="I4" s="34"/>
      <c r="J4" s="34"/>
      <c r="K4" s="36"/>
      <c r="L4" s="35" t="s">
        <v>297</v>
      </c>
      <c r="N4" s="5" t="s">
        <v>266</v>
      </c>
      <c r="O4" s="5" t="s">
        <v>266</v>
      </c>
      <c r="Q4" s="1" t="s">
        <v>263</v>
      </c>
    </row>
    <row r="5" spans="1:17" ht="12.75">
      <c r="A5" s="46" t="s">
        <v>317</v>
      </c>
      <c r="B5" s="35" t="s">
        <v>241</v>
      </c>
      <c r="C5" s="35" t="s">
        <v>271</v>
      </c>
      <c r="D5" s="35" t="s">
        <v>296</v>
      </c>
      <c r="E5" s="35" t="s">
        <v>307</v>
      </c>
      <c r="F5" s="49" t="s">
        <v>310</v>
      </c>
      <c r="G5" s="35" t="s">
        <v>241</v>
      </c>
      <c r="H5" s="35" t="s">
        <v>271</v>
      </c>
      <c r="I5" s="35" t="s">
        <v>296</v>
      </c>
      <c r="J5" s="35" t="s">
        <v>307</v>
      </c>
      <c r="K5" s="37" t="s">
        <v>310</v>
      </c>
      <c r="L5" s="35" t="s">
        <v>312</v>
      </c>
      <c r="N5" s="5" t="s">
        <v>282</v>
      </c>
      <c r="O5" s="5" t="s">
        <v>198</v>
      </c>
      <c r="Q5" s="1" t="s">
        <v>270</v>
      </c>
    </row>
    <row r="6" spans="1:17" ht="12.75">
      <c r="A6" s="46"/>
      <c r="B6" s="35" t="s">
        <v>237</v>
      </c>
      <c r="C6" s="35" t="s">
        <v>237</v>
      </c>
      <c r="D6" s="35" t="s">
        <v>239</v>
      </c>
      <c r="E6" s="35" t="s">
        <v>8</v>
      </c>
      <c r="F6" s="49" t="s">
        <v>5</v>
      </c>
      <c r="G6" s="35" t="s">
        <v>237</v>
      </c>
      <c r="H6" s="35" t="s">
        <v>237</v>
      </c>
      <c r="I6" s="35" t="s">
        <v>239</v>
      </c>
      <c r="J6" s="35" t="s">
        <v>8</v>
      </c>
      <c r="K6" s="37" t="s">
        <v>5</v>
      </c>
      <c r="L6" s="35" t="s">
        <v>4</v>
      </c>
      <c r="N6" s="4"/>
      <c r="O6" s="4"/>
      <c r="Q6" s="1" t="s">
        <v>243</v>
      </c>
    </row>
    <row r="7" spans="1:15" ht="12.75">
      <c r="A7" s="46"/>
      <c r="B7" s="36"/>
      <c r="C7" s="36"/>
      <c r="D7" s="36"/>
      <c r="E7" s="36"/>
      <c r="F7" s="48"/>
      <c r="G7" s="36"/>
      <c r="H7" s="36"/>
      <c r="I7" s="36"/>
      <c r="J7" s="36"/>
      <c r="K7" s="36"/>
      <c r="L7" s="36"/>
      <c r="N7" s="8"/>
      <c r="O7" s="8"/>
    </row>
    <row r="8" spans="1:15" ht="12.75">
      <c r="A8" s="46" t="s">
        <v>14</v>
      </c>
      <c r="B8" s="36">
        <v>4776.2646</v>
      </c>
      <c r="C8" s="36">
        <v>8267.7186</v>
      </c>
      <c r="D8" s="36">
        <v>13043.983199999999</v>
      </c>
      <c r="E8" s="36">
        <v>40635.98646115151</v>
      </c>
      <c r="F8" s="48">
        <f>E8/D8</f>
        <v>3.115305029</v>
      </c>
      <c r="G8" s="36"/>
      <c r="H8" s="36"/>
      <c r="I8" s="36"/>
      <c r="J8" s="36"/>
      <c r="K8" s="36"/>
      <c r="L8" s="36">
        <v>40635.98646115151</v>
      </c>
      <c r="N8" s="4">
        <v>1</v>
      </c>
      <c r="O8" s="4">
        <v>0</v>
      </c>
    </row>
    <row r="9" spans="1:15" ht="12.75">
      <c r="A9" s="46" t="s">
        <v>15</v>
      </c>
      <c r="B9" s="36">
        <v>8071.1556</v>
      </c>
      <c r="C9" s="36">
        <v>7282.8798</v>
      </c>
      <c r="D9" s="36">
        <v>15354.035400000002</v>
      </c>
      <c r="E9" s="36">
        <v>47832.50369706403</v>
      </c>
      <c r="F9" s="48">
        <f>E9/D9</f>
        <v>3.1153050289999995</v>
      </c>
      <c r="G9" s="36"/>
      <c r="H9" s="36"/>
      <c r="I9" s="36"/>
      <c r="J9" s="36"/>
      <c r="K9" s="36"/>
      <c r="L9" s="36">
        <v>47832.50369706403</v>
      </c>
      <c r="N9" s="4">
        <v>1</v>
      </c>
      <c r="O9" s="4">
        <v>0</v>
      </c>
    </row>
    <row r="10" spans="1:15" ht="12.75">
      <c r="A10" s="46" t="s">
        <v>16</v>
      </c>
      <c r="B10" s="36">
        <v>16016.6742</v>
      </c>
      <c r="C10" s="36">
        <v>9428.9866</v>
      </c>
      <c r="D10" s="36">
        <v>25445.660799999998</v>
      </c>
      <c r="E10" s="36">
        <v>79270.99505646815</v>
      </c>
      <c r="F10" s="48">
        <f>E10/D10</f>
        <v>3.1153050289999995</v>
      </c>
      <c r="G10" s="36"/>
      <c r="H10" s="36"/>
      <c r="I10" s="36"/>
      <c r="J10" s="36"/>
      <c r="K10" s="36"/>
      <c r="L10" s="36">
        <v>79270.99505646815</v>
      </c>
      <c r="N10" s="4">
        <v>1</v>
      </c>
      <c r="O10" s="4">
        <v>0</v>
      </c>
    </row>
    <row r="11" spans="1:15" ht="12.75">
      <c r="A11" s="46" t="s">
        <v>17</v>
      </c>
      <c r="B11" s="36">
        <v>11108.8432</v>
      </c>
      <c r="C11" s="36">
        <v>10213.235</v>
      </c>
      <c r="D11" s="36">
        <v>21322.0782</v>
      </c>
      <c r="E11" s="36">
        <v>66424.77744519126</v>
      </c>
      <c r="F11" s="48">
        <f>E11/D11</f>
        <v>3.1153050289999995</v>
      </c>
      <c r="G11" s="36"/>
      <c r="H11" s="36"/>
      <c r="I11" s="36"/>
      <c r="J11" s="36"/>
      <c r="K11" s="36"/>
      <c r="L11" s="36">
        <v>66424.77744519126</v>
      </c>
      <c r="N11" s="4">
        <v>1</v>
      </c>
      <c r="O11" s="4">
        <v>0</v>
      </c>
    </row>
    <row r="12" spans="1:15" ht="12.75">
      <c r="A12" s="46" t="s">
        <v>18</v>
      </c>
      <c r="B12" s="36">
        <v>8117.597799999999</v>
      </c>
      <c r="C12" s="36">
        <v>10608.187600000001</v>
      </c>
      <c r="D12" s="36">
        <v>18725.7854</v>
      </c>
      <c r="E12" s="36">
        <v>58336.53342859476</v>
      </c>
      <c r="F12" s="48">
        <f>E12/D12</f>
        <v>3.115305028999999</v>
      </c>
      <c r="G12" s="36"/>
      <c r="H12" s="36"/>
      <c r="I12" s="36"/>
      <c r="J12" s="36"/>
      <c r="K12" s="36"/>
      <c r="L12" s="36">
        <v>58336.53342859476</v>
      </c>
      <c r="N12" s="4">
        <v>1</v>
      </c>
      <c r="O12" s="4">
        <v>0</v>
      </c>
    </row>
    <row r="13" spans="1:17" ht="12.75">
      <c r="A13" s="46" t="s">
        <v>20</v>
      </c>
      <c r="B13" s="36">
        <v>7575.847600000001</v>
      </c>
      <c r="C13" s="36">
        <v>6675.8420000000015</v>
      </c>
      <c r="D13" s="36">
        <v>14251.689600000002</v>
      </c>
      <c r="E13" s="36">
        <v>44398.36028262701</v>
      </c>
      <c r="F13" s="48">
        <f>E13/D13</f>
        <v>3.1153050290000004</v>
      </c>
      <c r="G13" s="36"/>
      <c r="H13" s="36"/>
      <c r="I13" s="36"/>
      <c r="J13" s="36"/>
      <c r="K13" s="36"/>
      <c r="L13" s="36">
        <v>44398.36028262701</v>
      </c>
      <c r="N13" s="4">
        <v>1</v>
      </c>
      <c r="O13" s="4">
        <v>0</v>
      </c>
      <c r="Q13" s="21">
        <v>82.4358108108108</v>
      </c>
    </row>
    <row r="14" spans="1:17" ht="12.75">
      <c r="A14" s="46" t="s">
        <v>21</v>
      </c>
      <c r="B14" s="36">
        <v>6021.798199999999</v>
      </c>
      <c r="C14" s="36">
        <v>2528.6911999999998</v>
      </c>
      <c r="D14" s="36">
        <v>8550.4894</v>
      </c>
      <c r="E14" s="36">
        <v>26637.382628231193</v>
      </c>
      <c r="F14" s="48">
        <f>E14/D14</f>
        <v>3.115305029</v>
      </c>
      <c r="G14" s="36"/>
      <c r="H14" s="36"/>
      <c r="I14" s="36"/>
      <c r="J14" s="36"/>
      <c r="K14" s="36"/>
      <c r="L14" s="36">
        <v>26637.382628231193</v>
      </c>
      <c r="N14" s="4">
        <v>1</v>
      </c>
      <c r="O14" s="4">
        <v>0</v>
      </c>
      <c r="Q14" s="41">
        <v>81.248649</v>
      </c>
    </row>
    <row r="15" spans="1:17" ht="12.75">
      <c r="A15" s="46" t="s">
        <v>22</v>
      </c>
      <c r="B15" s="36">
        <v>3356.6917999999996</v>
      </c>
      <c r="C15" s="36">
        <v>202.9966</v>
      </c>
      <c r="D15" s="36">
        <v>3559.6884</v>
      </c>
      <c r="E15" s="36">
        <v>11089.515174192964</v>
      </c>
      <c r="F15" s="48">
        <f>E15/D15</f>
        <v>3.115305029</v>
      </c>
      <c r="G15" s="36"/>
      <c r="H15" s="36"/>
      <c r="I15" s="36"/>
      <c r="J15" s="36"/>
      <c r="K15" s="36"/>
      <c r="L15" s="36">
        <v>11089.515174192964</v>
      </c>
      <c r="N15" s="4">
        <v>1</v>
      </c>
      <c r="O15" s="4">
        <v>0</v>
      </c>
      <c r="Q15" s="41">
        <v>103.83783783783784</v>
      </c>
    </row>
    <row r="16" spans="1:17" ht="12.75">
      <c r="A16" s="46" t="s">
        <v>24</v>
      </c>
      <c r="B16" s="36">
        <v>20006.153</v>
      </c>
      <c r="C16" s="36">
        <v>2188.2348</v>
      </c>
      <c r="D16" s="36">
        <v>22194.3878</v>
      </c>
      <c r="E16" s="36">
        <v>69353.58742597657</v>
      </c>
      <c r="F16" s="48">
        <f>E16/D16</f>
        <v>3.124825431137892</v>
      </c>
      <c r="G16" s="36"/>
      <c r="H16" s="36"/>
      <c r="I16" s="36"/>
      <c r="J16" s="36"/>
      <c r="K16" s="36"/>
      <c r="L16" s="36">
        <v>69353.58742597657</v>
      </c>
      <c r="N16" s="4">
        <v>1</v>
      </c>
      <c r="O16" s="4">
        <v>0</v>
      </c>
      <c r="Q16" s="41">
        <v>96.60540540540542</v>
      </c>
    </row>
    <row r="17" spans="1:17" ht="12.75">
      <c r="A17" s="46" t="s">
        <v>26</v>
      </c>
      <c r="B17" s="36">
        <v>15612.7732</v>
      </c>
      <c r="C17" s="36">
        <v>6300.535399999999</v>
      </c>
      <c r="D17" s="36">
        <v>21913.3086</v>
      </c>
      <c r="E17" s="36">
        <v>68548.73425239252</v>
      </c>
      <c r="F17" s="48">
        <f>E17/D17</f>
        <v>3.1281782</v>
      </c>
      <c r="G17" s="36"/>
      <c r="H17" s="36"/>
      <c r="I17" s="36"/>
      <c r="J17" s="36"/>
      <c r="K17" s="36"/>
      <c r="L17" s="36">
        <v>68548.73425239252</v>
      </c>
      <c r="N17" s="4">
        <v>1</v>
      </c>
      <c r="O17" s="4">
        <v>0</v>
      </c>
      <c r="Q17" s="41">
        <v>104.8</v>
      </c>
    </row>
    <row r="18" spans="1:17" ht="12.75">
      <c r="A18" s="46" t="s">
        <v>27</v>
      </c>
      <c r="B18" s="36">
        <v>11625.4876</v>
      </c>
      <c r="C18" s="36">
        <v>5655.1086000000005</v>
      </c>
      <c r="D18" s="36">
        <v>17280.596200000004</v>
      </c>
      <c r="E18" s="36">
        <v>54056.78431584283</v>
      </c>
      <c r="F18" s="48">
        <f>E18/D18</f>
        <v>3.128178199999999</v>
      </c>
      <c r="G18" s="36"/>
      <c r="H18" s="36"/>
      <c r="I18" s="36"/>
      <c r="J18" s="36"/>
      <c r="K18" s="36"/>
      <c r="L18" s="36">
        <v>54056.78431584283</v>
      </c>
      <c r="N18" s="4">
        <v>1</v>
      </c>
      <c r="O18" s="4">
        <v>0</v>
      </c>
      <c r="Q18" s="41">
        <v>80.51891891891891</v>
      </c>
    </row>
    <row r="19" spans="1:17" ht="12.75">
      <c r="A19" s="46" t="s">
        <v>28</v>
      </c>
      <c r="B19" s="36">
        <v>1402.142</v>
      </c>
      <c r="C19" s="36">
        <v>150.2102</v>
      </c>
      <c r="D19" s="36">
        <v>1552.3522</v>
      </c>
      <c r="E19" s="36">
        <v>4856.03431076204</v>
      </c>
      <c r="F19" s="48">
        <f>E19/D19</f>
        <v>3.1281782</v>
      </c>
      <c r="G19" s="36"/>
      <c r="H19" s="36"/>
      <c r="I19" s="36"/>
      <c r="J19" s="36"/>
      <c r="K19" s="36"/>
      <c r="L19" s="36">
        <v>4856.03431076204</v>
      </c>
      <c r="N19" s="4">
        <v>1</v>
      </c>
      <c r="O19" s="4">
        <v>0</v>
      </c>
      <c r="Q19" s="41">
        <v>107.45405405405407</v>
      </c>
    </row>
    <row r="20" spans="1:17" ht="12.75">
      <c r="A20" s="46" t="s">
        <v>29</v>
      </c>
      <c r="B20" s="36">
        <v>8650.426</v>
      </c>
      <c r="C20" s="36">
        <v>3420.9914</v>
      </c>
      <c r="D20" s="36">
        <v>12071.4174</v>
      </c>
      <c r="E20" s="36">
        <v>37761.544753780676</v>
      </c>
      <c r="F20" s="48">
        <f>E20/D20</f>
        <v>3.1281782</v>
      </c>
      <c r="G20" s="36"/>
      <c r="H20" s="36"/>
      <c r="I20" s="36"/>
      <c r="J20" s="36"/>
      <c r="K20" s="36"/>
      <c r="L20" s="36">
        <v>37761.544753780676</v>
      </c>
      <c r="N20" s="4">
        <v>1</v>
      </c>
      <c r="O20" s="4">
        <v>0</v>
      </c>
      <c r="Q20" s="41">
        <v>102.34054054054053</v>
      </c>
    </row>
    <row r="21" spans="1:17" ht="12.75">
      <c r="A21" s="46" t="s">
        <v>30</v>
      </c>
      <c r="B21" s="36">
        <v>9112.661799999998</v>
      </c>
      <c r="C21" s="36">
        <v>6904.8027999999995</v>
      </c>
      <c r="D21" s="36">
        <v>16017.464600000001</v>
      </c>
      <c r="E21" s="36">
        <v>50105.48358099171</v>
      </c>
      <c r="F21" s="48">
        <f>E21/D21</f>
        <v>3.1281781999999994</v>
      </c>
      <c r="G21" s="36"/>
      <c r="H21" s="36"/>
      <c r="I21" s="36"/>
      <c r="J21" s="36"/>
      <c r="K21" s="36"/>
      <c r="L21" s="36">
        <v>50105.48358099171</v>
      </c>
      <c r="N21" s="4">
        <v>1</v>
      </c>
      <c r="O21" s="4">
        <v>0</v>
      </c>
      <c r="Q21" s="41">
        <v>92.34594594594594</v>
      </c>
    </row>
    <row r="22" spans="1:17" ht="12.75">
      <c r="A22" s="46" t="s">
        <v>31</v>
      </c>
      <c r="B22" s="36">
        <v>26012.89575</v>
      </c>
      <c r="C22" s="36">
        <v>14213.657500000001</v>
      </c>
      <c r="D22" s="36">
        <v>40226.55325</v>
      </c>
      <c r="E22" s="36">
        <v>125835.82693778916</v>
      </c>
      <c r="F22" s="48">
        <f>E22/D22</f>
        <v>3.1281782000000002</v>
      </c>
      <c r="G22" s="36"/>
      <c r="H22" s="36"/>
      <c r="I22" s="36"/>
      <c r="J22" s="36"/>
      <c r="K22" s="36"/>
      <c r="L22" s="36">
        <v>125835.82693778916</v>
      </c>
      <c r="N22" s="4">
        <v>1</v>
      </c>
      <c r="O22" s="4">
        <v>0</v>
      </c>
      <c r="Q22" s="41">
        <v>109.8135135135135</v>
      </c>
    </row>
    <row r="23" spans="1:17" ht="12.75">
      <c r="A23" s="46" t="s">
        <v>32</v>
      </c>
      <c r="B23" s="36">
        <v>5186.854</v>
      </c>
      <c r="C23" s="36">
        <v>5519.85775</v>
      </c>
      <c r="D23" s="36">
        <v>10706.71175</v>
      </c>
      <c r="E23" s="36">
        <v>33492.50229003385</v>
      </c>
      <c r="F23" s="48">
        <f>E23/D23</f>
        <v>3.1281782000000002</v>
      </c>
      <c r="G23" s="36"/>
      <c r="H23" s="36"/>
      <c r="I23" s="36"/>
      <c r="J23" s="36"/>
      <c r="K23" s="36"/>
      <c r="L23" s="36">
        <v>33492.50229003385</v>
      </c>
      <c r="N23" s="4">
        <v>1</v>
      </c>
      <c r="O23" s="4">
        <v>0</v>
      </c>
      <c r="Q23" s="41">
        <v>115.32972972972973</v>
      </c>
    </row>
    <row r="24" spans="1:17" ht="12.75">
      <c r="A24" s="46" t="s">
        <v>33</v>
      </c>
      <c r="B24" s="36">
        <v>2583.7794000000004</v>
      </c>
      <c r="C24" s="36">
        <v>4691.8962</v>
      </c>
      <c r="D24" s="36">
        <v>7275.6756000000005</v>
      </c>
      <c r="E24" s="36">
        <v>22759.60980219192</v>
      </c>
      <c r="F24" s="48">
        <f>E24/D24</f>
        <v>3.1281782</v>
      </c>
      <c r="G24" s="36"/>
      <c r="H24" s="36"/>
      <c r="I24" s="36"/>
      <c r="J24" s="36"/>
      <c r="K24" s="36"/>
      <c r="L24" s="36">
        <v>22759.60980219192</v>
      </c>
      <c r="N24" s="4">
        <v>1</v>
      </c>
      <c r="O24" s="4">
        <v>0</v>
      </c>
      <c r="Q24" s="41">
        <v>161.90810810810814</v>
      </c>
    </row>
    <row r="25" spans="1:17" ht="12.75">
      <c r="A25" s="46" t="s">
        <v>34</v>
      </c>
      <c r="B25" s="36">
        <v>1136.7606999999998</v>
      </c>
      <c r="C25" s="36">
        <v>643.3464</v>
      </c>
      <c r="D25" s="36">
        <v>1780.1071000000004</v>
      </c>
      <c r="E25" s="36">
        <v>5568.49222388522</v>
      </c>
      <c r="F25" s="48">
        <f>E25/D25</f>
        <v>3.128178199999999</v>
      </c>
      <c r="G25" s="36"/>
      <c r="H25" s="36"/>
      <c r="I25" s="36"/>
      <c r="J25" s="36"/>
      <c r="K25" s="36"/>
      <c r="L25" s="36">
        <v>5568.49222388522</v>
      </c>
      <c r="N25" s="4">
        <v>1</v>
      </c>
      <c r="O25" s="4">
        <v>0</v>
      </c>
      <c r="Q25" s="41">
        <v>137.96999999999997</v>
      </c>
    </row>
    <row r="26" spans="1:17" ht="12.75">
      <c r="A26" s="46" t="s">
        <v>35</v>
      </c>
      <c r="B26" s="36">
        <v>112.60440000000001</v>
      </c>
      <c r="C26" s="36">
        <v>9.2524</v>
      </c>
      <c r="D26" s="36">
        <v>121.85679999999999</v>
      </c>
      <c r="E26" s="36">
        <v>381.18978528175995</v>
      </c>
      <c r="F26" s="48">
        <f>E26/D26</f>
        <v>3.1281782</v>
      </c>
      <c r="G26" s="36"/>
      <c r="H26" s="36"/>
      <c r="I26" s="36"/>
      <c r="J26" s="36"/>
      <c r="K26" s="36"/>
      <c r="L26" s="36">
        <v>381.18978528175995</v>
      </c>
      <c r="N26" s="4">
        <v>1</v>
      </c>
      <c r="O26" s="4">
        <v>0</v>
      </c>
      <c r="Q26" s="41">
        <v>111.07000042</v>
      </c>
    </row>
    <row r="27" spans="1:17" ht="12.75">
      <c r="A27" s="46" t="s">
        <v>36</v>
      </c>
      <c r="B27" s="36">
        <v>168.272</v>
      </c>
      <c r="C27" s="36">
        <v>40.7836</v>
      </c>
      <c r="D27" s="36">
        <v>209.0556</v>
      </c>
      <c r="E27" s="36">
        <v>665.1305367932398</v>
      </c>
      <c r="F27" s="48">
        <f>E27/D27</f>
        <v>3.1815963638058</v>
      </c>
      <c r="G27" s="36"/>
      <c r="H27" s="36"/>
      <c r="I27" s="36"/>
      <c r="J27" s="36"/>
      <c r="K27" s="36"/>
      <c r="L27" s="36">
        <v>665.1305367932398</v>
      </c>
      <c r="N27" s="4">
        <v>1</v>
      </c>
      <c r="O27" s="4">
        <v>0</v>
      </c>
      <c r="Q27" s="41">
        <v>114.12</v>
      </c>
    </row>
    <row r="28" spans="1:17" ht="12.75">
      <c r="A28" s="46" t="s">
        <v>38</v>
      </c>
      <c r="B28" s="36">
        <v>429.488</v>
      </c>
      <c r="C28" s="36">
        <v>0</v>
      </c>
      <c r="D28" s="36">
        <v>429.488</v>
      </c>
      <c r="E28" s="36">
        <v>1551.5986</v>
      </c>
      <c r="F28" s="48">
        <f>E28/D28</f>
        <v>3.6126704354952874</v>
      </c>
      <c r="G28" s="36"/>
      <c r="H28" s="36"/>
      <c r="I28" s="36"/>
      <c r="J28" s="36"/>
      <c r="K28" s="36"/>
      <c r="L28" s="36">
        <v>1551.5986</v>
      </c>
      <c r="N28" s="4">
        <v>1</v>
      </c>
      <c r="O28" s="4">
        <v>0</v>
      </c>
      <c r="Q28" s="41">
        <v>94.315</v>
      </c>
    </row>
    <row r="29" spans="1:17" ht="12.75">
      <c r="A29" s="46" t="s">
        <v>39</v>
      </c>
      <c r="B29" s="36">
        <v>4966.3176</v>
      </c>
      <c r="C29" s="36">
        <v>111.13879999999999</v>
      </c>
      <c r="D29" s="36">
        <v>5077.4564</v>
      </c>
      <c r="E29" s="36">
        <v>17710.4732</v>
      </c>
      <c r="F29" s="48">
        <f>E29/D29</f>
        <v>3.488060123962857</v>
      </c>
      <c r="G29" s="36">
        <v>240.01100000000002</v>
      </c>
      <c r="H29" s="36"/>
      <c r="I29" s="36">
        <v>240.01100000000002</v>
      </c>
      <c r="J29" s="36">
        <v>9859.484400000001</v>
      </c>
      <c r="K29" s="36">
        <f>J29/I29</f>
        <v>41.07930219864923</v>
      </c>
      <c r="L29" s="36">
        <v>27569.9576</v>
      </c>
      <c r="N29" s="4">
        <v>0.6423830408792504</v>
      </c>
      <c r="O29" s="4">
        <v>0.35761695912074964</v>
      </c>
      <c r="Q29" s="41">
        <v>90.05999999999999</v>
      </c>
    </row>
    <row r="30" spans="1:17" ht="12.75">
      <c r="A30" s="46" t="s">
        <v>44</v>
      </c>
      <c r="B30" s="36">
        <v>1971.1888</v>
      </c>
      <c r="C30" s="36">
        <v>19.8622</v>
      </c>
      <c r="D30" s="36">
        <v>1991.051</v>
      </c>
      <c r="E30" s="36">
        <v>7090.873999999999</v>
      </c>
      <c r="F30" s="48">
        <f>E30/D30</f>
        <v>3.5613723606276277</v>
      </c>
      <c r="G30" s="36">
        <v>675.8370000000001</v>
      </c>
      <c r="H30" s="36"/>
      <c r="I30" s="36">
        <v>675.8370000000001</v>
      </c>
      <c r="J30" s="36">
        <v>27123.29685783031</v>
      </c>
      <c r="K30" s="36">
        <f>J30/I30</f>
        <v>40.132897219048836</v>
      </c>
      <c r="L30" s="36">
        <v>34214.17085783031</v>
      </c>
      <c r="N30" s="4">
        <v>0.20724962266262753</v>
      </c>
      <c r="O30" s="4">
        <v>0.7927503773373725</v>
      </c>
      <c r="Q30" s="41">
        <v>102.7</v>
      </c>
    </row>
    <row r="31" spans="1:17" ht="12.75">
      <c r="A31" s="46" t="s">
        <v>48</v>
      </c>
      <c r="B31" s="36">
        <v>16105.909600000003</v>
      </c>
      <c r="C31" s="36">
        <v>1336.9954</v>
      </c>
      <c r="D31" s="36">
        <v>17442.905000000002</v>
      </c>
      <c r="E31" s="36">
        <v>67245.27542621497</v>
      </c>
      <c r="F31" s="48">
        <f>E31/D31</f>
        <v>3.855164918126594</v>
      </c>
      <c r="G31" s="36">
        <v>1939.7774000000002</v>
      </c>
      <c r="H31" s="36"/>
      <c r="I31" s="36">
        <v>1939.7774000000002</v>
      </c>
      <c r="J31" s="36">
        <v>83567.73148075413</v>
      </c>
      <c r="K31" s="36">
        <f>J31/I31</f>
        <v>43.08109347018587</v>
      </c>
      <c r="L31" s="36">
        <v>150813.0069069691</v>
      </c>
      <c r="N31" s="4">
        <v>0.44588511830213734</v>
      </c>
      <c r="O31" s="4">
        <v>0.5541148816978627</v>
      </c>
      <c r="Q31" s="41">
        <v>132.1849999625</v>
      </c>
    </row>
    <row r="32" spans="1:17" ht="12.75">
      <c r="A32" s="46" t="s">
        <v>49</v>
      </c>
      <c r="B32" s="36">
        <v>4423.0163999999995</v>
      </c>
      <c r="C32" s="36">
        <v>0</v>
      </c>
      <c r="D32" s="36">
        <v>4423.0163999999995</v>
      </c>
      <c r="E32" s="36">
        <v>17081.461035010823</v>
      </c>
      <c r="F32" s="48">
        <f>E32/D32</f>
        <v>3.8619483832370203</v>
      </c>
      <c r="G32" s="36">
        <v>1726.6948</v>
      </c>
      <c r="H32" s="36"/>
      <c r="I32" s="36">
        <v>1726.6948</v>
      </c>
      <c r="J32" s="36">
        <v>74406.84437012287</v>
      </c>
      <c r="K32" s="36">
        <f>J32/I32</f>
        <v>43.0920648919096</v>
      </c>
      <c r="L32" s="36">
        <v>91488.30540513368</v>
      </c>
      <c r="N32" s="4">
        <v>0.18670649717873483</v>
      </c>
      <c r="O32" s="4">
        <v>0.8132935028212652</v>
      </c>
      <c r="Q32" s="41">
        <v>129.460000075</v>
      </c>
    </row>
    <row r="33" spans="1:17" ht="12.75">
      <c r="A33" s="46" t="s">
        <v>50</v>
      </c>
      <c r="B33" s="36">
        <v>1432.2356000000002</v>
      </c>
      <c r="C33" s="36">
        <v>198.5752</v>
      </c>
      <c r="D33" s="36">
        <v>1630.8108000000002</v>
      </c>
      <c r="E33" s="36">
        <v>6298.107132425471</v>
      </c>
      <c r="F33" s="48">
        <f>E33/D33</f>
        <v>3.8619483832370194</v>
      </c>
      <c r="G33" s="36">
        <v>1916.3656000000003</v>
      </c>
      <c r="H33" s="36">
        <v>498.87620000000004</v>
      </c>
      <c r="I33" s="36">
        <v>2415.2418</v>
      </c>
      <c r="J33" s="36">
        <v>104077.75637525255</v>
      </c>
      <c r="K33" s="36">
        <f>J33/I33</f>
        <v>43.0920648919096</v>
      </c>
      <c r="L33" s="36">
        <v>110375.86350767803</v>
      </c>
      <c r="N33" s="4">
        <v>0.057060546864825736</v>
      </c>
      <c r="O33" s="4">
        <v>0.9429394531351741</v>
      </c>
      <c r="Q33" s="41">
        <v>146.63500000000002</v>
      </c>
    </row>
    <row r="34" spans="1:17" ht="12.75">
      <c r="A34" s="46" t="s">
        <v>51</v>
      </c>
      <c r="B34" s="36">
        <v>293.8224</v>
      </c>
      <c r="C34" s="36">
        <v>0</v>
      </c>
      <c r="D34" s="36">
        <v>293.8224</v>
      </c>
      <c r="E34" s="36">
        <v>1134.7269426388207</v>
      </c>
      <c r="F34" s="48">
        <f>E34/D34</f>
        <v>3.861948383237019</v>
      </c>
      <c r="G34" s="36">
        <v>685.781</v>
      </c>
      <c r="H34" s="36">
        <v>1043.2462</v>
      </c>
      <c r="I34" s="36">
        <v>1729.0272</v>
      </c>
      <c r="J34" s="36">
        <v>74507.35230227676</v>
      </c>
      <c r="K34" s="36">
        <f>J34/I34</f>
        <v>43.0920648919096</v>
      </c>
      <c r="L34" s="36">
        <v>75642.07924491559</v>
      </c>
      <c r="N34" s="4">
        <v>0.015001265882244945</v>
      </c>
      <c r="O34" s="4">
        <v>0.9849987341177551</v>
      </c>
      <c r="Q34" s="41">
        <v>146.1</v>
      </c>
    </row>
    <row r="35" spans="1:17" ht="12.75">
      <c r="A35" s="46" t="s">
        <v>52</v>
      </c>
      <c r="B35" s="36">
        <v>316.96639999999996</v>
      </c>
      <c r="C35" s="36">
        <v>0</v>
      </c>
      <c r="D35" s="36">
        <v>316.96639999999996</v>
      </c>
      <c r="E35" s="36">
        <v>1224.1078760204587</v>
      </c>
      <c r="F35" s="48">
        <f>E35/D35</f>
        <v>3.8619483832370207</v>
      </c>
      <c r="G35" s="36">
        <v>334.3452</v>
      </c>
      <c r="H35" s="36">
        <v>468.26239999999996</v>
      </c>
      <c r="I35" s="36">
        <v>802.6076</v>
      </c>
      <c r="J35" s="36">
        <v>34586.01878193983</v>
      </c>
      <c r="K35" s="36">
        <f>J35/I35</f>
        <v>43.0920648919096</v>
      </c>
      <c r="L35" s="36">
        <v>35810.12665796028</v>
      </c>
      <c r="N35" s="4">
        <v>0.03418328808810147</v>
      </c>
      <c r="O35" s="4">
        <v>0.9658167119118987</v>
      </c>
      <c r="Q35" s="41">
        <v>135.26</v>
      </c>
    </row>
    <row r="36" spans="1:17" ht="12.75">
      <c r="A36" s="46" t="s">
        <v>53</v>
      </c>
      <c r="B36" s="36">
        <v>356.898</v>
      </c>
      <c r="C36" s="36">
        <v>0</v>
      </c>
      <c r="D36" s="36">
        <v>356.898</v>
      </c>
      <c r="E36" s="36">
        <v>1378.321654080526</v>
      </c>
      <c r="F36" s="48">
        <f>E36/D36</f>
        <v>3.86194838323702</v>
      </c>
      <c r="G36" s="36">
        <v>110.635</v>
      </c>
      <c r="H36" s="36">
        <v>124.69480000000001</v>
      </c>
      <c r="I36" s="36">
        <v>235.32980000000003</v>
      </c>
      <c r="J36" s="36">
        <v>10140.847012600108</v>
      </c>
      <c r="K36" s="36">
        <f>J36/I36</f>
        <v>43.092064891909594</v>
      </c>
      <c r="L36" s="36">
        <v>11519.168666680634</v>
      </c>
      <c r="N36" s="4">
        <v>0.11965461171406769</v>
      </c>
      <c r="O36" s="4">
        <v>0.8803453882859323</v>
      </c>
      <c r="Q36" s="41">
        <v>110.6175</v>
      </c>
    </row>
    <row r="37" spans="1:17" ht="12.75">
      <c r="A37" s="46" t="s">
        <v>54</v>
      </c>
      <c r="B37" s="36">
        <v>317.412</v>
      </c>
      <c r="C37" s="36">
        <v>0</v>
      </c>
      <c r="D37" s="36">
        <v>317.412</v>
      </c>
      <c r="E37" s="36">
        <v>1225.828760220029</v>
      </c>
      <c r="F37" s="48">
        <f>E37/D37</f>
        <v>3.8619483832370203</v>
      </c>
      <c r="G37" s="36">
        <v>145.8004</v>
      </c>
      <c r="H37" s="36">
        <v>16.034599999999998</v>
      </c>
      <c r="I37" s="36">
        <v>161.83499999999998</v>
      </c>
      <c r="J37" s="36">
        <v>6973.804321782189</v>
      </c>
      <c r="K37" s="36">
        <f>J37/I37</f>
        <v>43.092064891909594</v>
      </c>
      <c r="L37" s="36">
        <v>8199.633082002218</v>
      </c>
      <c r="N37" s="4">
        <v>0.1494980016740824</v>
      </c>
      <c r="O37" s="4">
        <v>0.8505019983259176</v>
      </c>
      <c r="Q37" s="41">
        <v>112.8975</v>
      </c>
    </row>
    <row r="38" spans="1:17" ht="12.75">
      <c r="A38" s="46" t="s">
        <v>55</v>
      </c>
      <c r="B38" s="36">
        <v>247.5142</v>
      </c>
      <c r="C38" s="36">
        <v>0</v>
      </c>
      <c r="D38" s="36">
        <v>247.5142</v>
      </c>
      <c r="E38" s="36">
        <v>955.8870645182044</v>
      </c>
      <c r="F38" s="48">
        <f>E38/D38</f>
        <v>3.8619483832370203</v>
      </c>
      <c r="G38" s="36">
        <v>346.5892</v>
      </c>
      <c r="H38" s="36">
        <v>158.2214</v>
      </c>
      <c r="I38" s="36">
        <v>504.81059999999997</v>
      </c>
      <c r="J38" s="36">
        <v>21753.331133323816</v>
      </c>
      <c r="K38" s="36">
        <f>J38/I38</f>
        <v>43.092064891909594</v>
      </c>
      <c r="L38" s="36">
        <v>22709.218197842023</v>
      </c>
      <c r="N38" s="4">
        <v>0.04209246906655021</v>
      </c>
      <c r="O38" s="4">
        <v>0.9579075309334497</v>
      </c>
      <c r="Q38" s="41">
        <v>102.53</v>
      </c>
    </row>
    <row r="39" spans="1:17" ht="12.75">
      <c r="A39" s="46" t="s">
        <v>56</v>
      </c>
      <c r="B39" s="36">
        <v>193.489</v>
      </c>
      <c r="C39" s="36">
        <v>0</v>
      </c>
      <c r="D39" s="36">
        <v>193.489</v>
      </c>
      <c r="E39" s="36">
        <v>747.2445307241478</v>
      </c>
      <c r="F39" s="48">
        <f>E39/D39</f>
        <v>3.8619483832370203</v>
      </c>
      <c r="G39" s="36">
        <v>411.186</v>
      </c>
      <c r="H39" s="36">
        <v>215.3598</v>
      </c>
      <c r="I39" s="36">
        <v>626.5458000000001</v>
      </c>
      <c r="J39" s="36">
        <v>26999.152271353418</v>
      </c>
      <c r="K39" s="36">
        <f>J39/I39</f>
        <v>43.0920648919096</v>
      </c>
      <c r="L39" s="36">
        <v>27746.396802077557</v>
      </c>
      <c r="N39" s="4">
        <v>0.02693122772136657</v>
      </c>
      <c r="O39" s="4">
        <v>0.9730687722786338</v>
      </c>
      <c r="Q39" s="41">
        <v>106.33</v>
      </c>
    </row>
    <row r="40" spans="1:17" ht="12.75">
      <c r="A40" s="46" t="s">
        <v>57</v>
      </c>
      <c r="B40" s="36">
        <v>175.596</v>
      </c>
      <c r="C40" s="36">
        <v>0</v>
      </c>
      <c r="D40" s="36">
        <v>175.596</v>
      </c>
      <c r="E40" s="36">
        <v>678.1426883028878</v>
      </c>
      <c r="F40" s="48">
        <f>E40/D40</f>
        <v>3.8619483832370203</v>
      </c>
      <c r="G40" s="36">
        <v>307.0616</v>
      </c>
      <c r="H40" s="36">
        <v>84.08099999999999</v>
      </c>
      <c r="I40" s="36">
        <v>391.1426</v>
      </c>
      <c r="J40" s="36">
        <v>16855.142301190237</v>
      </c>
      <c r="K40" s="36">
        <f>J40/I40</f>
        <v>43.092064891909594</v>
      </c>
      <c r="L40" s="36">
        <v>17533.284989493128</v>
      </c>
      <c r="N40" s="4">
        <v>0.038677446280561044</v>
      </c>
      <c r="O40" s="4">
        <v>0.9613225537194388</v>
      </c>
      <c r="Q40" s="41">
        <v>110.835</v>
      </c>
    </row>
    <row r="41" spans="1:17" ht="12.75">
      <c r="A41" s="46" t="s">
        <v>59</v>
      </c>
      <c r="B41" s="36">
        <v>66.3436</v>
      </c>
      <c r="C41" s="36">
        <v>0</v>
      </c>
      <c r="D41" s="36">
        <v>66.3436</v>
      </c>
      <c r="E41" s="36">
        <v>256.21555875812356</v>
      </c>
      <c r="F41" s="48">
        <f>E41/D41</f>
        <v>3.8619483832370203</v>
      </c>
      <c r="G41" s="36">
        <v>127.0368</v>
      </c>
      <c r="H41" s="36">
        <v>41.63440000000001</v>
      </c>
      <c r="I41" s="36">
        <v>168.6712</v>
      </c>
      <c r="J41" s="36">
        <v>7268.390295796262</v>
      </c>
      <c r="K41" s="36">
        <f>J41/I41</f>
        <v>43.092064891909594</v>
      </c>
      <c r="L41" s="36">
        <v>7524.605854554386</v>
      </c>
      <c r="N41" s="4">
        <v>0.034050362731364206</v>
      </c>
      <c r="O41" s="4">
        <v>0.9659496372686358</v>
      </c>
      <c r="Q41" s="41">
        <v>114.83999999999999</v>
      </c>
    </row>
    <row r="42" spans="1:17" ht="12.75">
      <c r="A42" s="46" t="s">
        <v>60</v>
      </c>
      <c r="B42" s="36">
        <v>10.5924</v>
      </c>
      <c r="C42" s="36">
        <v>0</v>
      </c>
      <c r="D42" s="36">
        <v>10.5924</v>
      </c>
      <c r="E42" s="36">
        <v>40.90730205459981</v>
      </c>
      <c r="F42" s="48">
        <f>E42/D42</f>
        <v>3.8619483832370203</v>
      </c>
      <c r="G42" s="36">
        <v>69.005</v>
      </c>
      <c r="H42" s="36">
        <v>0</v>
      </c>
      <c r="I42" s="36">
        <v>69.005</v>
      </c>
      <c r="J42" s="36">
        <v>2973.567937866222</v>
      </c>
      <c r="K42" s="36">
        <f>J42/I42</f>
        <v>43.09206489190961</v>
      </c>
      <c r="L42" s="36">
        <v>3014.475239920822</v>
      </c>
      <c r="N42" s="4">
        <v>0.01357028961885727</v>
      </c>
      <c r="O42" s="4">
        <v>0.9864297103811427</v>
      </c>
      <c r="Q42" s="41">
        <v>111.23499999999999</v>
      </c>
    </row>
    <row r="43" spans="1:17" ht="12.75">
      <c r="A43" s="46" t="s">
        <v>62</v>
      </c>
      <c r="B43" s="36">
        <v>967.4842000000001</v>
      </c>
      <c r="C43" s="36">
        <v>0</v>
      </c>
      <c r="D43" s="36">
        <v>967.4842000000001</v>
      </c>
      <c r="E43" s="36">
        <v>4483.339894526171</v>
      </c>
      <c r="F43" s="48">
        <f>E43/D43</f>
        <v>4.634018720436127</v>
      </c>
      <c r="G43" s="36">
        <v>1870.6691999999998</v>
      </c>
      <c r="H43" s="36">
        <v>0</v>
      </c>
      <c r="I43" s="36">
        <v>1870.6691999999998</v>
      </c>
      <c r="J43" s="36">
        <v>89519.89610311638</v>
      </c>
      <c r="K43" s="36">
        <f>J43/I43</f>
        <v>47.85447694499722</v>
      </c>
      <c r="L43" s="36">
        <v>94003.23599764255</v>
      </c>
      <c r="N43" s="4">
        <v>0.047693463389266784</v>
      </c>
      <c r="O43" s="4">
        <v>0.9523065366107332</v>
      </c>
      <c r="Q43" s="41">
        <v>108.10499999999999</v>
      </c>
    </row>
    <row r="44" spans="1:17" ht="12.75">
      <c r="A44" s="46" t="s">
        <v>64</v>
      </c>
      <c r="B44" s="36">
        <v>837.7627999999999</v>
      </c>
      <c r="C44" s="36">
        <v>0</v>
      </c>
      <c r="D44" s="36">
        <v>837.7627999999999</v>
      </c>
      <c r="E44" s="36">
        <v>3882.47602919534</v>
      </c>
      <c r="F44" s="48">
        <f>E44/D44</f>
        <v>4.6343380598844215</v>
      </c>
      <c r="G44" s="36">
        <v>1035.1504</v>
      </c>
      <c r="H44" s="36">
        <v>0</v>
      </c>
      <c r="I44" s="36">
        <v>1035.1504</v>
      </c>
      <c r="J44" s="36">
        <v>49563.07578854022</v>
      </c>
      <c r="K44" s="36">
        <f>J44/I44</f>
        <v>47.8800721021218</v>
      </c>
      <c r="L44" s="36">
        <v>53445.55181773556</v>
      </c>
      <c r="N44" s="4">
        <v>0.07264357644646799</v>
      </c>
      <c r="O44" s="4">
        <v>0.927356423553532</v>
      </c>
      <c r="Q44" s="41">
        <v>113.4025</v>
      </c>
    </row>
    <row r="45" spans="1:17" ht="12.75">
      <c r="A45" s="46" t="s">
        <v>66</v>
      </c>
      <c r="B45" s="36">
        <v>696.1476</v>
      </c>
      <c r="C45" s="36">
        <v>2489.8722000000002</v>
      </c>
      <c r="D45" s="36">
        <v>3186.0197999999996</v>
      </c>
      <c r="E45" s="36">
        <v>14765.092818685347</v>
      </c>
      <c r="F45" s="48">
        <f>E45/D45</f>
        <v>4.634338059884421</v>
      </c>
      <c r="G45" s="36">
        <v>2027.3205999999998</v>
      </c>
      <c r="H45" s="36">
        <v>529.9932000000001</v>
      </c>
      <c r="I45" s="36">
        <v>2557.3138</v>
      </c>
      <c r="J45" s="36">
        <v>122444.36913175108</v>
      </c>
      <c r="K45" s="36">
        <f>J45/I45</f>
        <v>47.8800721021218</v>
      </c>
      <c r="L45" s="36">
        <v>137209.46195043644</v>
      </c>
      <c r="N45" s="4">
        <v>0.10760987331922398</v>
      </c>
      <c r="O45" s="4">
        <v>0.892390126680776</v>
      </c>
      <c r="Q45" s="41">
        <v>101.47583333</v>
      </c>
    </row>
    <row r="46" spans="1:17" ht="12.75">
      <c r="A46" s="46" t="s">
        <v>67</v>
      </c>
      <c r="B46" s="36">
        <v>537.1824</v>
      </c>
      <c r="C46" s="36">
        <v>6321.4254</v>
      </c>
      <c r="D46" s="36">
        <v>6858.607800000001</v>
      </c>
      <c r="E46" s="36">
        <v>31785.107165360147</v>
      </c>
      <c r="F46" s="48">
        <f>E46/D46</f>
        <v>4.634338059884419</v>
      </c>
      <c r="G46" s="36">
        <v>521.7898</v>
      </c>
      <c r="H46" s="36">
        <v>77.68860000000001</v>
      </c>
      <c r="I46" s="36">
        <v>599.4784</v>
      </c>
      <c r="J46" s="36">
        <v>28703.069015664612</v>
      </c>
      <c r="K46" s="36">
        <f>J46/I46</f>
        <v>47.8800721021218</v>
      </c>
      <c r="L46" s="36">
        <v>60488.17618102477</v>
      </c>
      <c r="N46" s="4">
        <v>0.5254763686416318</v>
      </c>
      <c r="O46" s="4">
        <v>0.474523631358368</v>
      </c>
      <c r="Q46" s="41">
        <v>112.266666665</v>
      </c>
    </row>
    <row r="47" spans="1:17" ht="12.75">
      <c r="A47" s="46" t="s">
        <v>70</v>
      </c>
      <c r="B47" s="36">
        <v>347.7646</v>
      </c>
      <c r="C47" s="36">
        <v>7711.780399999999</v>
      </c>
      <c r="D47" s="36">
        <v>8059.545</v>
      </c>
      <c r="E47" s="36">
        <v>37350.65613885117</v>
      </c>
      <c r="F47" s="48">
        <f>E47/D47</f>
        <v>4.634338059884419</v>
      </c>
      <c r="G47" s="36">
        <v>212.3512</v>
      </c>
      <c r="H47" s="36">
        <v>8.4334</v>
      </c>
      <c r="I47" s="36">
        <v>220.7846</v>
      </c>
      <c r="J47" s="36">
        <v>10571.18256703812</v>
      </c>
      <c r="K47" s="36">
        <f>J47/I47</f>
        <v>47.880072102121794</v>
      </c>
      <c r="L47" s="36">
        <v>47921.83870588929</v>
      </c>
      <c r="N47" s="4">
        <v>0.7794078263165851</v>
      </c>
      <c r="O47" s="4">
        <v>0.2205921736834148</v>
      </c>
      <c r="Q47" s="41">
        <v>108.475</v>
      </c>
    </row>
    <row r="48" spans="1:17" ht="12.75">
      <c r="A48" s="46" t="s">
        <v>71</v>
      </c>
      <c r="B48" s="36">
        <v>532.5856</v>
      </c>
      <c r="C48" s="36">
        <v>444.43919999999997</v>
      </c>
      <c r="D48" s="36">
        <v>977.0247999999999</v>
      </c>
      <c r="E48" s="36">
        <v>4527.863216090963</v>
      </c>
      <c r="F48" s="48">
        <f>E48/D48</f>
        <v>4.63433805988442</v>
      </c>
      <c r="G48" s="36">
        <v>132.2742</v>
      </c>
      <c r="H48" s="36">
        <v>0</v>
      </c>
      <c r="I48" s="36">
        <v>132.2742</v>
      </c>
      <c r="J48" s="36">
        <v>6333.298233250479</v>
      </c>
      <c r="K48" s="36">
        <f>J48/I48</f>
        <v>47.880072102121794</v>
      </c>
      <c r="L48" s="36">
        <v>10861.161449341444</v>
      </c>
      <c r="N48" s="4">
        <v>0.41688572969012494</v>
      </c>
      <c r="O48" s="4">
        <v>0.5831142703098748</v>
      </c>
      <c r="Q48" s="41">
        <v>122.01</v>
      </c>
    </row>
    <row r="49" spans="1:17" ht="12.75">
      <c r="A49" s="46" t="s">
        <v>73</v>
      </c>
      <c r="B49" s="36">
        <v>130.6998</v>
      </c>
      <c r="C49" s="36">
        <v>0</v>
      </c>
      <c r="D49" s="36">
        <v>130.6998</v>
      </c>
      <c r="E49" s="36">
        <v>605.7070575592818</v>
      </c>
      <c r="F49" s="48">
        <f>E49/D49</f>
        <v>4.634338059884421</v>
      </c>
      <c r="G49" s="36">
        <v>90.7782</v>
      </c>
      <c r="H49" s="36">
        <v>0</v>
      </c>
      <c r="I49" s="36">
        <v>90.7782</v>
      </c>
      <c r="J49" s="36">
        <v>4346.466761300833</v>
      </c>
      <c r="K49" s="36">
        <f>J49/I49</f>
        <v>47.8800721021218</v>
      </c>
      <c r="L49" s="36">
        <v>4952.173818860116</v>
      </c>
      <c r="N49" s="4">
        <v>0.12231134845317336</v>
      </c>
      <c r="O49" s="4">
        <v>0.8776886515468265</v>
      </c>
      <c r="Q49" s="41">
        <v>92.525</v>
      </c>
    </row>
    <row r="50" spans="1:17" ht="12.75">
      <c r="A50" s="46" t="s">
        <v>74</v>
      </c>
      <c r="B50" s="36">
        <v>517.3729999999999</v>
      </c>
      <c r="C50" s="36">
        <v>0</v>
      </c>
      <c r="D50" s="36">
        <v>517.3729999999999</v>
      </c>
      <c r="E50" s="36">
        <v>2397.681385056582</v>
      </c>
      <c r="F50" s="48">
        <f>E50/D50</f>
        <v>4.634338059884421</v>
      </c>
      <c r="G50" s="36">
        <v>64.3362</v>
      </c>
      <c r="H50" s="36">
        <v>0</v>
      </c>
      <c r="I50" s="36">
        <v>64.3362</v>
      </c>
      <c r="J50" s="36">
        <v>3080.4218947765285</v>
      </c>
      <c r="K50" s="36">
        <f>J50/I50</f>
        <v>47.880072102121794</v>
      </c>
      <c r="L50" s="36">
        <v>5478.10327983311</v>
      </c>
      <c r="N50" s="4">
        <v>0.4376845894606111</v>
      </c>
      <c r="O50" s="4">
        <v>0.5623154105393889</v>
      </c>
      <c r="Q50" s="41">
        <v>100.9</v>
      </c>
    </row>
    <row r="51" spans="1:17" ht="12.75">
      <c r="A51" s="46" t="s">
        <v>76</v>
      </c>
      <c r="B51" s="36">
        <v>1460.6368</v>
      </c>
      <c r="C51" s="36">
        <v>0</v>
      </c>
      <c r="D51" s="36">
        <v>1460.6368</v>
      </c>
      <c r="E51" s="36">
        <v>6769.084713907787</v>
      </c>
      <c r="F51" s="48">
        <f>E51/D51</f>
        <v>4.63433805988442</v>
      </c>
      <c r="G51" s="36">
        <v>63.525999999999996</v>
      </c>
      <c r="H51" s="36">
        <v>0</v>
      </c>
      <c r="I51" s="36">
        <v>63.525999999999996</v>
      </c>
      <c r="J51" s="36">
        <v>3041.629460359389</v>
      </c>
      <c r="K51" s="36">
        <f>J51/I51</f>
        <v>47.8800721021218</v>
      </c>
      <c r="L51" s="36">
        <v>9810.714174267177</v>
      </c>
      <c r="N51" s="4">
        <v>0.6899685989897276</v>
      </c>
      <c r="O51" s="4">
        <v>0.31003140101027227</v>
      </c>
      <c r="Q51" s="41">
        <v>100.25</v>
      </c>
    </row>
    <row r="52" spans="1:17" ht="12.75">
      <c r="A52" s="46" t="s">
        <v>78</v>
      </c>
      <c r="B52" s="36">
        <v>1415.0939999999998</v>
      </c>
      <c r="C52" s="36">
        <v>0</v>
      </c>
      <c r="D52" s="36">
        <v>1415.0939999999998</v>
      </c>
      <c r="E52" s="36">
        <v>6558.023982514083</v>
      </c>
      <c r="F52" s="48">
        <f>E52/D52</f>
        <v>4.634338059884421</v>
      </c>
      <c r="G52" s="36">
        <v>26.718600000000002</v>
      </c>
      <c r="H52" s="36">
        <v>0</v>
      </c>
      <c r="I52" s="36">
        <v>26.718600000000002</v>
      </c>
      <c r="J52" s="36">
        <v>1279.2884944677514</v>
      </c>
      <c r="K52" s="36">
        <f>J52/I52</f>
        <v>47.880072102121794</v>
      </c>
      <c r="L52" s="36">
        <v>7837.312476981834</v>
      </c>
      <c r="N52" s="4">
        <v>0.8367694923195907</v>
      </c>
      <c r="O52" s="4">
        <v>0.16323050768040936</v>
      </c>
      <c r="Q52" s="41">
        <v>97.055</v>
      </c>
    </row>
    <row r="53" spans="1:17" ht="12.75">
      <c r="A53" s="46" t="s">
        <v>80</v>
      </c>
      <c r="B53" s="36">
        <v>3432.9149999999995</v>
      </c>
      <c r="C53" s="36">
        <v>0</v>
      </c>
      <c r="D53" s="36">
        <v>3432.9149999999995</v>
      </c>
      <c r="E53" s="36">
        <v>18067.3486275277</v>
      </c>
      <c r="F53" s="48">
        <f>E53/D53</f>
        <v>5.262975817207155</v>
      </c>
      <c r="G53" s="36">
        <v>488.1184</v>
      </c>
      <c r="H53" s="36">
        <v>0</v>
      </c>
      <c r="I53" s="36">
        <v>488.1184</v>
      </c>
      <c r="J53" s="36">
        <v>29731.33058320179</v>
      </c>
      <c r="K53" s="36">
        <f>J53/I53</f>
        <v>60.91007956922294</v>
      </c>
      <c r="L53" s="36">
        <v>47798.67921072949</v>
      </c>
      <c r="N53" s="4">
        <v>0.37798844917606167</v>
      </c>
      <c r="O53" s="4">
        <v>0.6220115508239383</v>
      </c>
      <c r="Q53" s="41">
        <v>102.7325</v>
      </c>
    </row>
    <row r="54" spans="1:17" ht="12.75">
      <c r="A54" s="46" t="s">
        <v>83</v>
      </c>
      <c r="B54" s="36">
        <v>5015.722400000001</v>
      </c>
      <c r="C54" s="36">
        <v>152.368</v>
      </c>
      <c r="D54" s="36">
        <v>5168.090399999999</v>
      </c>
      <c r="E54" s="36">
        <v>29938.347547054145</v>
      </c>
      <c r="F54" s="48">
        <f>E54/D54</f>
        <v>5.792922574855531</v>
      </c>
      <c r="G54" s="36">
        <v>1272.127</v>
      </c>
      <c r="H54" s="36">
        <v>16.0296</v>
      </c>
      <c r="I54" s="36">
        <v>1288.1566</v>
      </c>
      <c r="J54" s="36">
        <v>83263.99169721245</v>
      </c>
      <c r="K54" s="36">
        <f>J54/I54</f>
        <v>64.6380973378644</v>
      </c>
      <c r="L54" s="36">
        <v>113202.3392442666</v>
      </c>
      <c r="N54" s="4">
        <v>0.264467569724452</v>
      </c>
      <c r="O54" s="4">
        <v>0.735532430275548</v>
      </c>
      <c r="Q54" s="41">
        <v>106.745</v>
      </c>
    </row>
    <row r="55" spans="1:17" ht="12.75">
      <c r="A55" s="46" t="s">
        <v>85</v>
      </c>
      <c r="B55" s="36">
        <v>2348.4744000000005</v>
      </c>
      <c r="C55" s="36">
        <v>74.17959999999998</v>
      </c>
      <c r="D55" s="36">
        <v>2422.654</v>
      </c>
      <c r="E55" s="36">
        <v>14034.24704766405</v>
      </c>
      <c r="F55" s="48">
        <f>E55/D55</f>
        <v>5.79292257485553</v>
      </c>
      <c r="G55" s="36">
        <v>526.704</v>
      </c>
      <c r="H55" s="36">
        <v>11.965200000000001</v>
      </c>
      <c r="I55" s="36">
        <v>538.6692</v>
      </c>
      <c r="J55" s="36">
        <v>34818.55218250954</v>
      </c>
      <c r="K55" s="36">
        <f>J55/I55</f>
        <v>64.63809733786438</v>
      </c>
      <c r="L55" s="36">
        <v>48852.799230173594</v>
      </c>
      <c r="N55" s="4">
        <v>0.28727621075592114</v>
      </c>
      <c r="O55" s="4">
        <v>0.7127237892440789</v>
      </c>
      <c r="Q55" s="41">
        <v>97.755</v>
      </c>
    </row>
    <row r="56" spans="1:17" ht="12.75">
      <c r="A56" s="46" t="s">
        <v>87</v>
      </c>
      <c r="B56" s="36">
        <v>834.6826000000001</v>
      </c>
      <c r="C56" s="36">
        <v>0</v>
      </c>
      <c r="D56" s="36">
        <v>834.6826000000001</v>
      </c>
      <c r="E56" s="36">
        <v>4835.251676379108</v>
      </c>
      <c r="F56" s="48">
        <f>E56/D56</f>
        <v>5.792922574855529</v>
      </c>
      <c r="G56" s="36">
        <v>404.477</v>
      </c>
      <c r="H56" s="36">
        <v>0</v>
      </c>
      <c r="I56" s="36">
        <v>404.477</v>
      </c>
      <c r="J56" s="36">
        <v>26144.623696927378</v>
      </c>
      <c r="K56" s="36">
        <f>J56/I56</f>
        <v>64.6380973378644</v>
      </c>
      <c r="L56" s="36">
        <v>30979.875373306488</v>
      </c>
      <c r="N56" s="4">
        <v>0.15607718294907527</v>
      </c>
      <c r="O56" s="4">
        <v>0.8439228170509246</v>
      </c>
      <c r="Q56" s="41">
        <v>90.055</v>
      </c>
    </row>
    <row r="57" spans="1:17" ht="12.75">
      <c r="A57" s="46" t="s">
        <v>89</v>
      </c>
      <c r="B57" s="36">
        <v>995.231</v>
      </c>
      <c r="C57" s="36">
        <v>0</v>
      </c>
      <c r="D57" s="36">
        <v>995.231</v>
      </c>
      <c r="E57" s="36">
        <v>5765.296127096044</v>
      </c>
      <c r="F57" s="48">
        <f>E57/D57</f>
        <v>5.79292257485553</v>
      </c>
      <c r="G57" s="36">
        <v>219.44879999999998</v>
      </c>
      <c r="H57" s="36">
        <v>0</v>
      </c>
      <c r="I57" s="36">
        <v>219.44879999999998</v>
      </c>
      <c r="J57" s="36">
        <v>14184.752895077534</v>
      </c>
      <c r="K57" s="36">
        <f>J57/I57</f>
        <v>64.6380973378644</v>
      </c>
      <c r="L57" s="36">
        <v>19950.049022173578</v>
      </c>
      <c r="N57" s="4">
        <v>0.28898656442839704</v>
      </c>
      <c r="O57" s="4">
        <v>0.711013435571603</v>
      </c>
      <c r="Q57" s="41">
        <v>127.38000000000001</v>
      </c>
    </row>
    <row r="58" spans="1:17" ht="12.75">
      <c r="A58" s="46" t="s">
        <v>90</v>
      </c>
      <c r="B58" s="36">
        <v>926.7850249999999</v>
      </c>
      <c r="C58" s="36">
        <v>0</v>
      </c>
      <c r="D58" s="36">
        <v>926.7850249999999</v>
      </c>
      <c r="E58" s="36">
        <v>5368.793893360547</v>
      </c>
      <c r="F58" s="48">
        <f>E58/D58</f>
        <v>5.792922574855531</v>
      </c>
      <c r="G58" s="36">
        <v>129.749025</v>
      </c>
      <c r="H58" s="36">
        <v>0</v>
      </c>
      <c r="I58" s="36">
        <v>129.749025</v>
      </c>
      <c r="J58" s="36">
        <v>8386.730107443</v>
      </c>
      <c r="K58" s="36">
        <f>J58/I58</f>
        <v>64.6380973378644</v>
      </c>
      <c r="L58" s="36">
        <v>13755.524000803547</v>
      </c>
      <c r="N58" s="4">
        <v>0.3903009360491772</v>
      </c>
      <c r="O58" s="4">
        <v>0.6096990639508229</v>
      </c>
      <c r="Q58" s="41">
        <v>102.77000000000001</v>
      </c>
    </row>
    <row r="59" spans="1:17" ht="12.75">
      <c r="A59" s="46" t="s">
        <v>93</v>
      </c>
      <c r="B59" s="36">
        <v>1270.839775</v>
      </c>
      <c r="C59" s="36">
        <v>0</v>
      </c>
      <c r="D59" s="36">
        <v>1270.839775</v>
      </c>
      <c r="E59" s="36">
        <v>7361.876421621823</v>
      </c>
      <c r="F59" s="48">
        <f>E59/D59</f>
        <v>5.792922574855531</v>
      </c>
      <c r="G59" s="36">
        <v>268.982625</v>
      </c>
      <c r="H59" s="36">
        <v>0</v>
      </c>
      <c r="I59" s="36">
        <v>268.982625</v>
      </c>
      <c r="J59" s="36">
        <v>17386.52509694428</v>
      </c>
      <c r="K59" s="36">
        <f>J59/I59</f>
        <v>64.63809733786441</v>
      </c>
      <c r="L59" s="36">
        <v>24748.401518566097</v>
      </c>
      <c r="N59" s="4">
        <v>0.29746876444116965</v>
      </c>
      <c r="O59" s="4">
        <v>0.7025312355588306</v>
      </c>
      <c r="Q59" s="41">
        <v>106.795</v>
      </c>
    </row>
    <row r="60" spans="1:17" ht="12.75">
      <c r="A60" s="46" t="s">
        <v>94</v>
      </c>
      <c r="B60" s="36">
        <v>2490.94</v>
      </c>
      <c r="C60" s="36">
        <v>0</v>
      </c>
      <c r="D60" s="36">
        <v>2490.94</v>
      </c>
      <c r="E60" s="36">
        <v>14429.822558610636</v>
      </c>
      <c r="F60" s="48">
        <f>E60/D60</f>
        <v>5.792922574855531</v>
      </c>
      <c r="G60" s="36">
        <v>278.92587566895656</v>
      </c>
      <c r="H60" s="36">
        <v>0</v>
      </c>
      <c r="I60" s="36">
        <v>278.92587566895656</v>
      </c>
      <c r="J60" s="36">
        <v>18029.237901539076</v>
      </c>
      <c r="K60" s="36">
        <f>J60/I60</f>
        <v>64.6380973378644</v>
      </c>
      <c r="L60" s="36">
        <v>32459.06046014971</v>
      </c>
      <c r="N60" s="4">
        <v>0.44455453589996125</v>
      </c>
      <c r="O60" s="4">
        <v>0.5554454641000388</v>
      </c>
      <c r="Q60" s="41">
        <v>96.7</v>
      </c>
    </row>
    <row r="61" spans="1:17" ht="12.75">
      <c r="A61" s="46" t="s">
        <v>96</v>
      </c>
      <c r="B61" s="36">
        <v>4313.544</v>
      </c>
      <c r="C61" s="36">
        <v>0</v>
      </c>
      <c r="D61" s="36">
        <v>4313.544</v>
      </c>
      <c r="E61" s="36">
        <v>24988.02641523262</v>
      </c>
      <c r="F61" s="48">
        <f>E61/D61</f>
        <v>5.792922574855529</v>
      </c>
      <c r="G61" s="36">
        <v>516.6035577073845</v>
      </c>
      <c r="H61" s="36"/>
      <c r="I61" s="36">
        <v>516.6035577073845</v>
      </c>
      <c r="J61" s="36">
        <v>33392.27104817697</v>
      </c>
      <c r="K61" s="36">
        <f>J61/I61</f>
        <v>64.6380973378644</v>
      </c>
      <c r="L61" s="36">
        <v>58380.2974634096</v>
      </c>
      <c r="N61" s="4">
        <v>0.42802156722298473</v>
      </c>
      <c r="O61" s="4">
        <v>0.571978432777015</v>
      </c>
      <c r="Q61" s="41">
        <v>106.79249999999999</v>
      </c>
    </row>
    <row r="62" spans="1:17" ht="12.75">
      <c r="A62" s="46" t="s">
        <v>98</v>
      </c>
      <c r="B62" s="36">
        <v>3633.2119999999995</v>
      </c>
      <c r="C62" s="36">
        <v>0</v>
      </c>
      <c r="D62" s="36">
        <v>3633.2119999999995</v>
      </c>
      <c r="E62" s="36">
        <v>21046.91581403601</v>
      </c>
      <c r="F62" s="48">
        <f>E62/D62</f>
        <v>5.79292257485553</v>
      </c>
      <c r="G62" s="36">
        <v>1523.1151821296671</v>
      </c>
      <c r="H62" s="36"/>
      <c r="I62" s="36">
        <v>1523.1151821296671</v>
      </c>
      <c r="J62" s="36">
        <v>98451.26739927648</v>
      </c>
      <c r="K62" s="36">
        <f>J62/I62</f>
        <v>64.6380973378644</v>
      </c>
      <c r="L62" s="36">
        <v>119498.1832133125</v>
      </c>
      <c r="N62" s="4">
        <v>0.17612749623536797</v>
      </c>
      <c r="O62" s="4">
        <v>0.823872503764632</v>
      </c>
      <c r="Q62" s="41">
        <v>103.7725</v>
      </c>
    </row>
    <row r="63" spans="1:17" ht="12.75">
      <c r="A63" s="46" t="s">
        <v>100</v>
      </c>
      <c r="B63" s="36">
        <v>1089.0120000000002</v>
      </c>
      <c r="C63" s="36">
        <v>0</v>
      </c>
      <c r="D63" s="36">
        <v>1089.0120000000002</v>
      </c>
      <c r="E63" s="36">
        <v>6308.56219908857</v>
      </c>
      <c r="F63" s="48">
        <f>E63/D63</f>
        <v>5.792922574855529</v>
      </c>
      <c r="G63" s="36">
        <v>694.5990924484996</v>
      </c>
      <c r="H63" s="36"/>
      <c r="I63" s="36">
        <v>694.5990924484996</v>
      </c>
      <c r="J63" s="36">
        <v>44897.56374847839</v>
      </c>
      <c r="K63" s="36">
        <f>J63/I63</f>
        <v>64.6380973378644</v>
      </c>
      <c r="L63" s="36">
        <v>51206.12594756696</v>
      </c>
      <c r="N63" s="4">
        <v>0.12319936496559587</v>
      </c>
      <c r="O63" s="4">
        <v>0.8768006350344041</v>
      </c>
      <c r="Q63" s="41">
        <v>108.520000007</v>
      </c>
    </row>
    <row r="64" spans="1:17" ht="12.75">
      <c r="A64" s="46" t="s">
        <v>101</v>
      </c>
      <c r="B64" s="36">
        <v>79.145</v>
      </c>
      <c r="C64" s="36">
        <v>0</v>
      </c>
      <c r="D64" s="36">
        <v>79.145</v>
      </c>
      <c r="E64" s="36">
        <v>458.4808571869409</v>
      </c>
      <c r="F64" s="48">
        <f>E64/D64</f>
        <v>5.79292257485553</v>
      </c>
      <c r="G64" s="36">
        <v>743.6563242865252</v>
      </c>
      <c r="H64" s="36"/>
      <c r="I64" s="36">
        <v>743.6563242865252</v>
      </c>
      <c r="J64" s="36">
        <v>48068.52987515087</v>
      </c>
      <c r="K64" s="36">
        <f>J64/I64</f>
        <v>64.6380973378644</v>
      </c>
      <c r="L64" s="36">
        <v>48527.01073233781</v>
      </c>
      <c r="N64" s="4">
        <v>0.00944795177505988</v>
      </c>
      <c r="O64" s="4">
        <v>0.99055204822494</v>
      </c>
      <c r="Q64" s="41">
        <v>120.4375000005</v>
      </c>
    </row>
    <row r="65" spans="1:17" ht="12.75">
      <c r="A65" s="46" t="s">
        <v>103</v>
      </c>
      <c r="B65" s="36">
        <v>3148.2065000000002</v>
      </c>
      <c r="C65" s="36">
        <v>0</v>
      </c>
      <c r="D65" s="36">
        <v>3148.2065000000002</v>
      </c>
      <c r="E65" s="36">
        <v>18237.31650415692</v>
      </c>
      <c r="F65" s="48">
        <f>E65/D65</f>
        <v>5.79292257485553</v>
      </c>
      <c r="G65" s="36">
        <v>442.1352257027509</v>
      </c>
      <c r="H65" s="36"/>
      <c r="I65" s="36">
        <v>442.1352257027509</v>
      </c>
      <c r="J65" s="36">
        <v>28578.779755473057</v>
      </c>
      <c r="K65" s="36">
        <f>J65/I65</f>
        <v>64.6380973378644</v>
      </c>
      <c r="L65" s="36">
        <v>46816.09625962997</v>
      </c>
      <c r="N65" s="4">
        <v>0.38955226858338365</v>
      </c>
      <c r="O65" s="4">
        <v>0.6104477314166163</v>
      </c>
      <c r="Q65" s="41">
        <v>146.04500000000002</v>
      </c>
    </row>
    <row r="66" spans="1:17" ht="12.75">
      <c r="A66" s="46" t="s">
        <v>107</v>
      </c>
      <c r="B66" s="36">
        <v>9244.7005</v>
      </c>
      <c r="C66" s="36">
        <v>0</v>
      </c>
      <c r="D66" s="36">
        <v>9244.7005</v>
      </c>
      <c r="E66" s="36">
        <v>60248.024971944185</v>
      </c>
      <c r="F66" s="48">
        <f>E66/D66</f>
        <v>6.517033728885449</v>
      </c>
      <c r="G66" s="36">
        <v>736.4210274787099</v>
      </c>
      <c r="H66" s="36"/>
      <c r="I66" s="36">
        <v>736.4210274787099</v>
      </c>
      <c r="J66" s="36">
        <v>54079.254896926825</v>
      </c>
      <c r="K66" s="36">
        <f>J66/I66</f>
        <v>73.43524000404818</v>
      </c>
      <c r="L66" s="36">
        <v>114327.279868871</v>
      </c>
      <c r="N66" s="4">
        <v>0.5269785570079718</v>
      </c>
      <c r="O66" s="4">
        <v>0.47302144299202825</v>
      </c>
      <c r="Q66" s="41">
        <v>157.345</v>
      </c>
    </row>
    <row r="67" spans="1:17" ht="12.75">
      <c r="A67" s="46" t="s">
        <v>110</v>
      </c>
      <c r="B67" s="36">
        <v>4616.832</v>
      </c>
      <c r="C67" s="36">
        <v>0</v>
      </c>
      <c r="D67" s="36">
        <v>4616.832</v>
      </c>
      <c r="E67" s="36">
        <v>30088.07125642854</v>
      </c>
      <c r="F67" s="48">
        <f>E67/D67</f>
        <v>6.51703836232909</v>
      </c>
      <c r="G67" s="36">
        <v>189.15964849865358</v>
      </c>
      <c r="H67" s="36"/>
      <c r="I67" s="36">
        <v>189.15964849865358</v>
      </c>
      <c r="J67" s="36">
        <v>13890.97154669431</v>
      </c>
      <c r="K67" s="36">
        <f>J67/I67</f>
        <v>73.43517318279001</v>
      </c>
      <c r="L67" s="36">
        <v>43979.04280312285</v>
      </c>
      <c r="N67" s="4">
        <v>0.6841456598116786</v>
      </c>
      <c r="O67" s="4">
        <v>0.31585434018832137</v>
      </c>
      <c r="Q67" s="41">
        <v>155.64000000000001</v>
      </c>
    </row>
    <row r="68" spans="1:17" ht="12.75">
      <c r="A68" s="46" t="s">
        <v>112</v>
      </c>
      <c r="B68" s="36">
        <v>5684.093999999999</v>
      </c>
      <c r="C68" s="36">
        <v>0</v>
      </c>
      <c r="D68" s="36">
        <v>5684.093999999999</v>
      </c>
      <c r="E68" s="36">
        <v>37043.458653084606</v>
      </c>
      <c r="F68" s="48">
        <f>E68/D68</f>
        <v>6.517038362329091</v>
      </c>
      <c r="G68" s="36">
        <v>406.71882832504554</v>
      </c>
      <c r="H68" s="36"/>
      <c r="I68" s="36">
        <v>406.71882832504554</v>
      </c>
      <c r="J68" s="36">
        <v>29826.052098038275</v>
      </c>
      <c r="K68" s="36">
        <f>J68/I68</f>
        <v>73.33334485858029</v>
      </c>
      <c r="L68" s="36">
        <v>66869.5107511229</v>
      </c>
      <c r="N68" s="4">
        <v>0.5539663478465416</v>
      </c>
      <c r="O68" s="4">
        <v>0.4460336521534581</v>
      </c>
      <c r="Q68" s="41">
        <v>152.32999999999998</v>
      </c>
    </row>
    <row r="69" spans="1:17" ht="12.75">
      <c r="A69" s="46" t="s">
        <v>114</v>
      </c>
      <c r="B69" s="36">
        <v>5707.031999999999</v>
      </c>
      <c r="C69" s="36">
        <v>0</v>
      </c>
      <c r="D69" s="36">
        <v>5707.031999999999</v>
      </c>
      <c r="E69" s="36">
        <v>100776.32421749443</v>
      </c>
      <c r="F69" s="48">
        <f>E69/D69</f>
        <v>17.65827214872712</v>
      </c>
      <c r="G69" s="36">
        <v>963.7923382448059</v>
      </c>
      <c r="H69" s="39"/>
      <c r="I69" s="36">
        <v>963.7923382448059</v>
      </c>
      <c r="J69" s="36">
        <v>79997.50807499999</v>
      </c>
      <c r="K69" s="36">
        <f>J69/I69</f>
        <v>83.00284708704584</v>
      </c>
      <c r="L69" s="36">
        <v>180773.83229249442</v>
      </c>
      <c r="N69" s="4">
        <v>0.5574718582855345</v>
      </c>
      <c r="O69" s="4">
        <v>0.4425281417144655</v>
      </c>
      <c r="Q69" s="41">
        <v>176.545</v>
      </c>
    </row>
    <row r="70" spans="1:17" ht="12.75">
      <c r="A70" s="46" t="s">
        <v>119</v>
      </c>
      <c r="B70" s="36">
        <v>22029.731</v>
      </c>
      <c r="C70" s="36">
        <v>0</v>
      </c>
      <c r="D70" s="36">
        <v>22029.731</v>
      </c>
      <c r="E70" s="36">
        <v>402892.43600000005</v>
      </c>
      <c r="F70" s="48">
        <f>E70/D70</f>
        <v>18.288577195972117</v>
      </c>
      <c r="G70" s="36">
        <v>1992.0834378125867</v>
      </c>
      <c r="H70" s="39"/>
      <c r="I70" s="36">
        <v>1992.0834378125867</v>
      </c>
      <c r="J70" s="36">
        <v>188860.92199999996</v>
      </c>
      <c r="K70" s="36">
        <f>J70/I70</f>
        <v>94.80572872358162</v>
      </c>
      <c r="L70" s="36">
        <v>591753.358</v>
      </c>
      <c r="N70" s="4">
        <v>0.6808452044305933</v>
      </c>
      <c r="O70" s="4">
        <v>0.31915479556940674</v>
      </c>
      <c r="Q70" s="41">
        <v>229.63999999999996</v>
      </c>
    </row>
    <row r="71" spans="1:17" ht="12.75">
      <c r="A71" s="46" t="s">
        <v>126</v>
      </c>
      <c r="B71" s="36">
        <v>9428.8552</v>
      </c>
      <c r="C71" s="34"/>
      <c r="D71" s="36">
        <v>9428.8552</v>
      </c>
      <c r="E71" s="36">
        <v>121874.56899999999</v>
      </c>
      <c r="F71" s="48">
        <f>E71/D71</f>
        <v>12.925701627064969</v>
      </c>
      <c r="G71" s="36">
        <v>166.80022853196678</v>
      </c>
      <c r="H71" s="39"/>
      <c r="I71" s="36">
        <v>166.80022853196678</v>
      </c>
      <c r="J71" s="36">
        <v>16023.336480000002</v>
      </c>
      <c r="K71" s="36">
        <f>J71/I71</f>
        <v>96.06303672976789</v>
      </c>
      <c r="L71" s="36">
        <v>137897.90548000002</v>
      </c>
      <c r="N71" s="4">
        <v>0.8838029016885687</v>
      </c>
      <c r="O71" s="4">
        <v>0.11619709831143114</v>
      </c>
      <c r="Q71" s="41">
        <v>275.45330645161295</v>
      </c>
    </row>
    <row r="72" spans="1:17" ht="12.75">
      <c r="A72" s="46" t="s">
        <v>131</v>
      </c>
      <c r="B72" s="36">
        <v>4152.477499999999</v>
      </c>
      <c r="C72" s="34"/>
      <c r="D72" s="36">
        <v>4152.477499999999</v>
      </c>
      <c r="E72" s="36">
        <v>36023.66249999999</v>
      </c>
      <c r="F72" s="48">
        <f>E72/D72</f>
        <v>8.675221599635398</v>
      </c>
      <c r="G72" s="36">
        <v>261.1424643351897</v>
      </c>
      <c r="H72" s="39"/>
      <c r="I72" s="36">
        <v>261.1424643351897</v>
      </c>
      <c r="J72" s="36">
        <v>23955.866759999997</v>
      </c>
      <c r="K72" s="36">
        <f>J72/I72</f>
        <v>91.7348575268533</v>
      </c>
      <c r="L72" s="36">
        <v>59979.52926</v>
      </c>
      <c r="N72" s="4">
        <v>0.6005992868640928</v>
      </c>
      <c r="O72" s="4">
        <v>0.3994007131359069</v>
      </c>
      <c r="Q72" s="41">
        <v>315.8464986175115</v>
      </c>
    </row>
    <row r="73" spans="1:17" ht="12.75">
      <c r="A73" s="46" t="s">
        <v>136</v>
      </c>
      <c r="B73" s="36">
        <v>24263.302600000003</v>
      </c>
      <c r="C73" s="34"/>
      <c r="D73" s="36">
        <v>24263.302600000003</v>
      </c>
      <c r="E73" s="36">
        <v>210873.24748377758</v>
      </c>
      <c r="F73" s="48">
        <f>E73/D73</f>
        <v>8.691036457822422</v>
      </c>
      <c r="G73" s="36">
        <v>255.82783956574772</v>
      </c>
      <c r="H73" s="36"/>
      <c r="I73" s="36">
        <v>255.82783956574772</v>
      </c>
      <c r="J73" s="36">
        <v>24682.712450208757</v>
      </c>
      <c r="K73" s="36">
        <f>J73/I73</f>
        <v>96.48172963546958</v>
      </c>
      <c r="L73" s="36">
        <v>235555.95993398633</v>
      </c>
      <c r="N73" s="4">
        <v>0.895215079859894</v>
      </c>
      <c r="O73" s="4">
        <v>0.10478492014010596</v>
      </c>
      <c r="Q73" s="41">
        <v>289.3107503875</v>
      </c>
    </row>
    <row r="74" spans="1:17" ht="12.75">
      <c r="A74" s="46" t="s">
        <v>137</v>
      </c>
      <c r="B74" s="36">
        <v>11097.4318</v>
      </c>
      <c r="C74" s="34"/>
      <c r="D74" s="36">
        <v>11097.4318</v>
      </c>
      <c r="E74" s="36">
        <v>96429.85168524098</v>
      </c>
      <c r="F74" s="48">
        <f>E74/D74</f>
        <v>8.68938448310545</v>
      </c>
      <c r="G74" s="36">
        <v>236.16042058685903</v>
      </c>
      <c r="H74" s="36"/>
      <c r="I74" s="36">
        <v>236.16042058685903</v>
      </c>
      <c r="J74" s="36">
        <v>22790.897136213433</v>
      </c>
      <c r="K74" s="36">
        <f>J74/I74</f>
        <v>96.5059982514344</v>
      </c>
      <c r="L74" s="36">
        <v>119220.74882145443</v>
      </c>
      <c r="N74" s="4">
        <v>0.808834474187499</v>
      </c>
      <c r="O74" s="4">
        <v>0.1911655258125009</v>
      </c>
      <c r="Q74" s="41">
        <v>292.292499428125</v>
      </c>
    </row>
    <row r="75" spans="1:17" ht="12.75">
      <c r="A75" s="46" t="s">
        <v>139</v>
      </c>
      <c r="B75" s="36">
        <v>8806.1662</v>
      </c>
      <c r="C75" s="34"/>
      <c r="D75" s="36">
        <v>8806.1662</v>
      </c>
      <c r="E75" s="36">
        <v>76520.16393392769</v>
      </c>
      <c r="F75" s="48">
        <f>E75/D75</f>
        <v>8.689384483105451</v>
      </c>
      <c r="G75" s="36">
        <v>102.63319943361721</v>
      </c>
      <c r="H75" s="36"/>
      <c r="I75" s="36">
        <v>102.63319943361721</v>
      </c>
      <c r="J75" s="36">
        <v>9934.572303302484</v>
      </c>
      <c r="K75" s="36">
        <f>J75/I75</f>
        <v>96.796868441465</v>
      </c>
      <c r="L75" s="36">
        <v>86454.73623723016</v>
      </c>
      <c r="N75" s="4">
        <v>0.8850893226249377</v>
      </c>
      <c r="O75" s="4">
        <v>0.11491067737506255</v>
      </c>
      <c r="Q75" s="41">
        <v>296.09499999999997</v>
      </c>
    </row>
    <row r="76" spans="1:17" ht="12.75">
      <c r="A76" s="46" t="s">
        <v>141</v>
      </c>
      <c r="B76" s="36">
        <v>8071.535000000001</v>
      </c>
      <c r="C76" s="34"/>
      <c r="D76" s="36">
        <v>8071.535000000001</v>
      </c>
      <c r="E76" s="36">
        <v>70489.33363192315</v>
      </c>
      <c r="F76" s="48">
        <f>E76/D76</f>
        <v>8.733076624449145</v>
      </c>
      <c r="G76" s="36">
        <v>76.19679298926587</v>
      </c>
      <c r="H76" s="36"/>
      <c r="I76" s="36">
        <v>76.19679298926587</v>
      </c>
      <c r="J76" s="36">
        <v>7416.22630875675</v>
      </c>
      <c r="K76" s="36">
        <f>J76/I76</f>
        <v>97.3299008765566</v>
      </c>
      <c r="L76" s="36">
        <v>77905.55994067989</v>
      </c>
      <c r="N76" s="4">
        <v>0.9048049161779502</v>
      </c>
      <c r="O76" s="4">
        <v>0.09519508382204984</v>
      </c>
      <c r="Q76" s="41">
        <v>336.495</v>
      </c>
    </row>
    <row r="77" spans="1:17" ht="12.75">
      <c r="A77" s="46" t="s">
        <v>145</v>
      </c>
      <c r="B77" s="36">
        <v>16056.314000000002</v>
      </c>
      <c r="C77" s="34"/>
      <c r="D77" s="36">
        <v>16056.314000000002</v>
      </c>
      <c r="E77" s="36">
        <v>139852.039164622</v>
      </c>
      <c r="F77" s="48">
        <f>E77/D77</f>
        <v>8.710096175537048</v>
      </c>
      <c r="G77" s="36">
        <v>337.31778164665093</v>
      </c>
      <c r="H77" s="36"/>
      <c r="I77" s="36">
        <v>337.31778164665093</v>
      </c>
      <c r="J77" s="36">
        <v>32770.994864131804</v>
      </c>
      <c r="K77" s="36">
        <f>J77/I77</f>
        <v>97.151696848464</v>
      </c>
      <c r="L77" s="36">
        <v>172623.0340287538</v>
      </c>
      <c r="N77" s="4">
        <v>0.810158620785954</v>
      </c>
      <c r="O77" s="4">
        <v>0.18984137921404592</v>
      </c>
      <c r="Q77" s="41">
        <v>337.51500000000004</v>
      </c>
    </row>
    <row r="78" spans="1:17" ht="12.75">
      <c r="A78" s="46" t="s">
        <v>147</v>
      </c>
      <c r="B78" s="36">
        <v>6405.349399999999</v>
      </c>
      <c r="C78" s="34"/>
      <c r="D78" s="36">
        <v>6405.349399999999</v>
      </c>
      <c r="E78" s="36">
        <v>55658.54368522881</v>
      </c>
      <c r="F78" s="48">
        <f>E78/D78</f>
        <v>8.689384483105453</v>
      </c>
      <c r="G78" s="36">
        <v>185.2058399059643</v>
      </c>
      <c r="H78" s="36"/>
      <c r="I78" s="36">
        <v>185.2058399059643</v>
      </c>
      <c r="J78" s="36">
        <v>17957.030944032816</v>
      </c>
      <c r="K78" s="36">
        <f>J78/I78</f>
        <v>96.95715293400171</v>
      </c>
      <c r="L78" s="36">
        <v>73615.57462926162</v>
      </c>
      <c r="N78" s="4">
        <v>0.7560702197263698</v>
      </c>
      <c r="O78" s="4">
        <v>0.24392978027363024</v>
      </c>
      <c r="Q78" s="41">
        <v>387.16999999999996</v>
      </c>
    </row>
    <row r="79" spans="1:17" ht="12.75">
      <c r="A79" s="46" t="s">
        <v>149</v>
      </c>
      <c r="B79" s="36">
        <v>18653.3626</v>
      </c>
      <c r="C79" s="34"/>
      <c r="D79" s="36">
        <v>18653.3626</v>
      </c>
      <c r="E79" s="36">
        <v>162086.23953417953</v>
      </c>
      <c r="F79" s="48">
        <f>E79/D79</f>
        <v>8.68938448310545</v>
      </c>
      <c r="G79" s="36">
        <v>178.4982718875066</v>
      </c>
      <c r="H79" s="36"/>
      <c r="I79" s="36">
        <v>178.4982718875066</v>
      </c>
      <c r="J79" s="36">
        <v>17306.68424585199</v>
      </c>
      <c r="K79" s="36">
        <f>J79/I79</f>
        <v>96.95715293400167</v>
      </c>
      <c r="L79" s="36">
        <v>179392.9237800315</v>
      </c>
      <c r="N79" s="4">
        <v>0.9035263828629432</v>
      </c>
      <c r="O79" s="4">
        <v>0.0964736171370569</v>
      </c>
      <c r="Q79" s="41">
        <v>416.01000000000005</v>
      </c>
    </row>
    <row r="80" spans="1:17" ht="12.75">
      <c r="A80" s="46" t="s">
        <v>151</v>
      </c>
      <c r="B80" s="36">
        <v>7461.689686025</v>
      </c>
      <c r="C80" s="34"/>
      <c r="D80" s="36">
        <v>7461.689686025</v>
      </c>
      <c r="E80" s="36">
        <v>64837.49057549362</v>
      </c>
      <c r="F80" s="48">
        <f>E80/D80</f>
        <v>8.689384483105451</v>
      </c>
      <c r="G80" s="36">
        <v>131.63665396365576</v>
      </c>
      <c r="H80" s="36"/>
      <c r="I80" s="36">
        <v>131.63665396365576</v>
      </c>
      <c r="J80" s="36">
        <v>12736.567906941395</v>
      </c>
      <c r="K80" s="36">
        <f>J80/I80</f>
        <v>96.75548202902436</v>
      </c>
      <c r="L80" s="36">
        <v>77574.058482435</v>
      </c>
      <c r="N80" s="4">
        <v>0.8358140832630885</v>
      </c>
      <c r="O80" s="4">
        <v>0.16418591673691174</v>
      </c>
      <c r="Q80" s="41">
        <v>540.54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F74"/>
  <sheetViews>
    <sheetView defaultGridColor="0" zoomScale="90" zoomScaleNormal="90" colorId="0" workbookViewId="0" topLeftCell="A1">
      <pane ySplit="5" topLeftCell="A7" activePane="bottomLeft" state="frozen"/>
      <selection pane="bottomLeft" activeCell="M38" sqref="M38"/>
    </sheetView>
  </sheetViews>
  <sheetFormatPr defaultColWidth="9.140625" defaultRowHeight="12.75"/>
  <cols>
    <col min="1" max="1" width="6.57421875" style="1" customWidth="1"/>
    <col min="2" max="2" width="10.57421875" style="2" customWidth="1"/>
    <col min="3" max="3" width="8.421875" style="4" customWidth="1"/>
    <col min="4" max="4" width="10.57421875" style="2" customWidth="1"/>
    <col min="5" max="5" width="8.421875" style="4" customWidth="1"/>
    <col min="6" max="6" width="12.28125" style="2" customWidth="1"/>
  </cols>
  <sheetData>
    <row r="1" ht="12.75">
      <c r="B1" s="3" t="s">
        <v>191</v>
      </c>
    </row>
    <row r="2" ht="12.75">
      <c r="B2" s="2"/>
    </row>
    <row r="3" spans="1:6" ht="12.75">
      <c r="A3" s="1" t="s">
        <v>318</v>
      </c>
      <c r="B3" s="3" t="s">
        <v>282</v>
      </c>
      <c r="C3" s="5" t="s">
        <v>0</v>
      </c>
      <c r="D3" s="3" t="s">
        <v>198</v>
      </c>
      <c r="E3" s="5" t="s">
        <v>0</v>
      </c>
      <c r="F3" s="3" t="s">
        <v>296</v>
      </c>
    </row>
    <row r="4" spans="1:6" ht="12.75">
      <c r="A4" s="1"/>
      <c r="B4" s="3" t="s">
        <v>227</v>
      </c>
      <c r="C4" s="5" t="s">
        <v>260</v>
      </c>
      <c r="D4" s="3" t="s">
        <v>227</v>
      </c>
      <c r="E4" s="5" t="s">
        <v>260</v>
      </c>
      <c r="F4" s="3" t="s">
        <v>227</v>
      </c>
    </row>
    <row r="5" spans="1:6" ht="12.75">
      <c r="A5" s="1"/>
      <c r="B5" s="2"/>
      <c r="C5" s="4"/>
      <c r="D5" s="2"/>
      <c r="E5" s="4"/>
      <c r="F5" s="2"/>
    </row>
    <row r="6" spans="1:6" ht="12.75">
      <c r="A6" s="1" t="s">
        <v>58</v>
      </c>
      <c r="B6" s="2">
        <v>181.35</v>
      </c>
      <c r="C6" s="4">
        <f>B6/F6</f>
        <v>0.028017414518690633</v>
      </c>
      <c r="D6" s="2">
        <v>6291.41</v>
      </c>
      <c r="E6" s="4">
        <f>D6/F6</f>
        <v>0.9719825854813093</v>
      </c>
      <c r="F6" s="2">
        <f>B6+D6</f>
        <v>6472.76</v>
      </c>
    </row>
    <row r="7" spans="1:6" ht="12.75">
      <c r="A7" s="1" t="s">
        <v>61</v>
      </c>
      <c r="B7" s="2">
        <v>4028.78</v>
      </c>
      <c r="C7" s="4">
        <f>B7/F7</f>
        <v>0.05682815828909833</v>
      </c>
      <c r="D7" s="2">
        <v>66865.3</v>
      </c>
      <c r="E7" s="4">
        <f>D7/F7</f>
        <v>0.9431718417109017</v>
      </c>
      <c r="F7" s="2">
        <f>B7+D7</f>
        <v>70894.08</v>
      </c>
    </row>
    <row r="8" spans="1:6" ht="12.75">
      <c r="A8" s="1" t="s">
        <v>65</v>
      </c>
      <c r="B8" s="2">
        <v>19167.7</v>
      </c>
      <c r="C8" s="4">
        <f>B8/F8</f>
        <v>0.19993620466577963</v>
      </c>
      <c r="D8" s="2">
        <v>76701.38</v>
      </c>
      <c r="E8" s="4">
        <f>D8/F8</f>
        <v>0.8000637953342205</v>
      </c>
      <c r="F8" s="2">
        <f>B8+D8</f>
        <v>95869.08</v>
      </c>
    </row>
    <row r="9" spans="1:6" ht="12.75">
      <c r="A9" s="1" t="s">
        <v>69</v>
      </c>
      <c r="B9" s="2">
        <v>24843.99</v>
      </c>
      <c r="C9" s="4">
        <f>B9/F9</f>
        <v>0.7221701739877361</v>
      </c>
      <c r="D9" s="2">
        <v>9557.86</v>
      </c>
      <c r="E9" s="4">
        <f>D9/F9</f>
        <v>0.27782982601226386</v>
      </c>
      <c r="F9" s="2">
        <f>B9+D9</f>
        <v>34401.850000000006</v>
      </c>
    </row>
    <row r="10" spans="1:6" ht="12.75">
      <c r="A10" s="1" t="s">
        <v>72</v>
      </c>
      <c r="B10" s="2">
        <v>1161.53</v>
      </c>
      <c r="C10" s="4">
        <f>B10/F10</f>
        <v>0.23557865872703598</v>
      </c>
      <c r="D10" s="2">
        <v>3769.01</v>
      </c>
      <c r="E10" s="4">
        <f>D10/F10</f>
        <v>0.764421341272964</v>
      </c>
      <c r="F10" s="2">
        <f>B10+D10</f>
        <v>4930.54</v>
      </c>
    </row>
    <row r="11" spans="1:6" ht="12.75">
      <c r="A11" s="1" t="s">
        <v>75</v>
      </c>
      <c r="B11" s="2">
        <v>6304.82</v>
      </c>
      <c r="C11" s="4">
        <f>B11/F11</f>
        <v>0.7100510282800958</v>
      </c>
      <c r="D11" s="2">
        <v>2574.57</v>
      </c>
      <c r="E11" s="4">
        <f>D11/F11</f>
        <v>0.28994897171990425</v>
      </c>
      <c r="F11" s="2">
        <f>B11+D11</f>
        <v>8879.39</v>
      </c>
    </row>
    <row r="12" spans="1:6" ht="12.75">
      <c r="A12" s="1"/>
      <c r="B12" s="2"/>
      <c r="C12" s="4"/>
      <c r="D12" s="2"/>
      <c r="E12" s="4"/>
      <c r="F12" s="2"/>
    </row>
    <row r="13" spans="1:6" ht="12.75">
      <c r="A13" s="1" t="s">
        <v>246</v>
      </c>
      <c r="B13" s="7">
        <f>SUM(B6:B12)</f>
        <v>55688.170000000006</v>
      </c>
      <c r="C13" s="4">
        <f>B13/F13</f>
        <v>0.25147323724744036</v>
      </c>
      <c r="D13" s="7">
        <f>SUM(D6:D12)</f>
        <v>165759.53000000003</v>
      </c>
      <c r="E13" s="4">
        <f>D13/F13</f>
        <v>0.7485267627525597</v>
      </c>
      <c r="F13" s="7">
        <f>SUM(F6:F12)</f>
        <v>221447.7</v>
      </c>
    </row>
    <row r="14" spans="1:6" ht="12.75">
      <c r="A14" s="6"/>
      <c r="B14" s="7"/>
      <c r="C14" s="8"/>
      <c r="D14" s="7"/>
      <c r="E14" s="8"/>
      <c r="F14" s="7"/>
    </row>
    <row r="15" spans="1:6" ht="12.75">
      <c r="A15" s="1" t="s">
        <v>79</v>
      </c>
      <c r="B15" s="2">
        <v>23105.63</v>
      </c>
      <c r="C15" s="4">
        <f>B15/F15</f>
        <v>0.31172188016121405</v>
      </c>
      <c r="D15" s="2">
        <v>51016.95</v>
      </c>
      <c r="E15" s="4">
        <f>D15/F15</f>
        <v>0.688278119838786</v>
      </c>
      <c r="F15" s="2">
        <f>B15+D15</f>
        <v>74122.58</v>
      </c>
    </row>
    <row r="16" spans="1:6" ht="12.75">
      <c r="A16" s="1" t="s">
        <v>84</v>
      </c>
      <c r="B16" s="2">
        <v>11038.11</v>
      </c>
      <c r="C16" s="4">
        <f>B16/F16</f>
        <v>0.24973692813969567</v>
      </c>
      <c r="D16" s="2">
        <v>33160.84</v>
      </c>
      <c r="E16" s="4">
        <f>D16/F16</f>
        <v>0.7502630718603044</v>
      </c>
      <c r="F16" s="2">
        <f>B16+D16</f>
        <v>44198.95</v>
      </c>
    </row>
    <row r="17" spans="1:6" ht="12.75">
      <c r="A17" s="1" t="s">
        <v>88</v>
      </c>
      <c r="B17" s="2">
        <v>5366.46</v>
      </c>
      <c r="C17" s="4">
        <f>B17/F17</f>
        <v>0.28648821500469523</v>
      </c>
      <c r="D17" s="2">
        <v>13365.41</v>
      </c>
      <c r="E17" s="4">
        <f>D17/F17</f>
        <v>0.7135117849953049</v>
      </c>
      <c r="F17" s="2">
        <f>B17+D17</f>
        <v>18731.87</v>
      </c>
    </row>
    <row r="18" spans="1:6" ht="12.75">
      <c r="A18" s="1" t="s">
        <v>92</v>
      </c>
      <c r="B18" s="2">
        <v>10526.86</v>
      </c>
      <c r="C18" s="4">
        <f>B18/F18</f>
        <v>0.3902464884021813</v>
      </c>
      <c r="D18" s="2">
        <v>16448.04</v>
      </c>
      <c r="E18" s="4">
        <f>D18/F18</f>
        <v>0.6097535115978188</v>
      </c>
      <c r="F18" s="2">
        <f>B18+D18</f>
        <v>26974.9</v>
      </c>
    </row>
    <row r="19" spans="1:6" ht="12.75">
      <c r="A19" s="1" t="s">
        <v>95</v>
      </c>
      <c r="B19" s="2">
        <v>24684.13</v>
      </c>
      <c r="C19" s="4">
        <f>B19/F19</f>
        <v>0.28869675807318035</v>
      </c>
      <c r="D19" s="2">
        <v>60817.8</v>
      </c>
      <c r="E19" s="4">
        <f>D19/F19</f>
        <v>0.7113032419268196</v>
      </c>
      <c r="F19" s="2">
        <f>B19+D19</f>
        <v>85501.93000000001</v>
      </c>
    </row>
    <row r="20" spans="1:6" ht="12.75">
      <c r="A20" s="1" t="s">
        <v>99</v>
      </c>
      <c r="B20" s="2">
        <v>3695.98</v>
      </c>
      <c r="C20" s="4">
        <f>B20/F20</f>
        <v>0.06912697174718993</v>
      </c>
      <c r="D20" s="2">
        <v>49770.56</v>
      </c>
      <c r="E20" s="4">
        <f>D20/F20</f>
        <v>0.93087302825281</v>
      </c>
      <c r="F20" s="2">
        <f>B20+D20</f>
        <v>53466.54</v>
      </c>
    </row>
    <row r="21" spans="1:6" ht="12.75">
      <c r="A21" s="1"/>
      <c r="B21" s="2"/>
      <c r="C21" s="8"/>
      <c r="D21" s="2"/>
      <c r="E21" s="8"/>
      <c r="F21" s="2"/>
    </row>
    <row r="22" spans="1:6" ht="12.75">
      <c r="A22" s="6" t="s">
        <v>246</v>
      </c>
      <c r="B22" s="7">
        <f>SUM(B15:B21)</f>
        <v>78417.17</v>
      </c>
      <c r="C22" s="4">
        <f>B22/F22</f>
        <v>0.25880530013570774</v>
      </c>
      <c r="D22" s="7">
        <f>SUM(D15:D21)</f>
        <v>224579.59999999998</v>
      </c>
      <c r="E22" s="4">
        <f>D22/F22</f>
        <v>0.7411946998642923</v>
      </c>
      <c r="F22" s="7">
        <f>SUM(F15:F21)</f>
        <v>302996.76999999996</v>
      </c>
    </row>
    <row r="23" spans="1:6" ht="12.75">
      <c r="A23" s="6"/>
      <c r="B23" s="7"/>
      <c r="C23" s="8"/>
      <c r="D23" s="7"/>
      <c r="E23" s="8"/>
      <c r="F23" s="7"/>
    </row>
    <row r="24" spans="1:6" ht="12.75">
      <c r="A24" s="1" t="s">
        <v>102</v>
      </c>
      <c r="B24" s="2">
        <v>33467.35</v>
      </c>
      <c r="C24" s="4">
        <f>B24/F24</f>
        <v>0.4322092549178835</v>
      </c>
      <c r="D24" s="2">
        <v>43965.86</v>
      </c>
      <c r="E24" s="4">
        <f>D24/F24</f>
        <v>0.5677907450821167</v>
      </c>
      <c r="F24" s="2">
        <f>B24+D24</f>
        <v>77433.20999999999</v>
      </c>
    </row>
    <row r="25" spans="1:6" ht="12.75">
      <c r="A25" s="1" t="s">
        <v>109</v>
      </c>
      <c r="B25" s="2">
        <v>35432.64</v>
      </c>
      <c r="C25" s="4">
        <f>B25/F25</f>
        <v>0.6331726663482276</v>
      </c>
      <c r="D25" s="2">
        <v>20527.83</v>
      </c>
      <c r="E25" s="4">
        <f>D25/F25</f>
        <v>0.36682733365177245</v>
      </c>
      <c r="F25" s="2">
        <f>B25+D25</f>
        <v>55960.47</v>
      </c>
    </row>
    <row r="26" spans="1:6" ht="12.75">
      <c r="A26" s="1" t="s">
        <v>113</v>
      </c>
      <c r="B26" s="2">
        <v>217915.6</v>
      </c>
      <c r="C26" s="4">
        <f>B26/F26</f>
        <v>0.62050564258085</v>
      </c>
      <c r="D26" s="2">
        <v>133274.76</v>
      </c>
      <c r="E26" s="4">
        <f>D26/F26</f>
        <v>0.37949435741915016</v>
      </c>
      <c r="F26" s="2">
        <f>B26+D26</f>
        <v>351190.36</v>
      </c>
    </row>
    <row r="27" spans="1:6" ht="12.75">
      <c r="A27" s="1" t="s">
        <v>123</v>
      </c>
      <c r="B27" s="2">
        <v>118001.32</v>
      </c>
      <c r="C27" s="4">
        <f>B27/F27</f>
        <v>0.8421947406525995</v>
      </c>
      <c r="D27" s="2">
        <v>22110.36</v>
      </c>
      <c r="E27" s="4">
        <f>D27/F27</f>
        <v>0.1578052593474006</v>
      </c>
      <c r="F27" s="2">
        <f>B27+D27</f>
        <v>140111.68</v>
      </c>
    </row>
    <row r="28" spans="1:6" ht="12.75">
      <c r="A28" s="1" t="s">
        <v>135</v>
      </c>
      <c r="B28" s="2">
        <v>146408.96</v>
      </c>
      <c r="C28" s="4">
        <f>B28/F28</f>
        <v>0.8592780592725894</v>
      </c>
      <c r="D28" s="2">
        <v>23977.05</v>
      </c>
      <c r="E28" s="4">
        <f>D28/F28</f>
        <v>0.14072194072741068</v>
      </c>
      <c r="F28" s="2">
        <f>B28+D28</f>
        <v>170386.00999999998</v>
      </c>
    </row>
    <row r="29" spans="1:6" ht="12.75">
      <c r="A29" s="1" t="s">
        <v>138</v>
      </c>
      <c r="B29" s="2">
        <v>72651.99</v>
      </c>
      <c r="C29" s="4">
        <f>B29/F29</f>
        <v>0.8974158836160682</v>
      </c>
      <c r="D29" s="2">
        <v>8304.89</v>
      </c>
      <c r="E29" s="4">
        <f>D29/F29</f>
        <v>0.10258411638393178</v>
      </c>
      <c r="F29" s="2">
        <f>B29+D29</f>
        <v>80956.88</v>
      </c>
    </row>
    <row r="30" spans="1:6" ht="12.75">
      <c r="A30" s="1" t="s">
        <v>144</v>
      </c>
      <c r="B30" s="2">
        <v>101997.72</v>
      </c>
      <c r="C30" s="4">
        <f>B30/F30</f>
        <v>0.8003388490728848</v>
      </c>
      <c r="D30" s="2">
        <v>25445.45</v>
      </c>
      <c r="E30" s="4">
        <f>D30/F30</f>
        <v>0.1996611509271152</v>
      </c>
      <c r="F30" s="2">
        <f>B30+D30</f>
        <v>127443.17</v>
      </c>
    </row>
    <row r="31" spans="1:6" ht="12.75">
      <c r="A31" s="1" t="s">
        <v>148</v>
      </c>
      <c r="B31" s="2">
        <v>117475.77</v>
      </c>
      <c r="C31" s="4">
        <f>B31/F31</f>
        <v>0.8923106756648365</v>
      </c>
      <c r="D31" s="2">
        <v>14177.67</v>
      </c>
      <c r="E31" s="4">
        <f>D31/F31</f>
        <v>0.1076893243351636</v>
      </c>
      <c r="F31" s="2">
        <f>B31+D31</f>
        <v>131653.44</v>
      </c>
    </row>
    <row r="32" spans="1:6" ht="12.75">
      <c r="A32" s="1"/>
      <c r="B32" s="2"/>
      <c r="C32" s="4"/>
      <c r="D32" s="2"/>
      <c r="E32" s="4"/>
      <c r="F32" s="2"/>
    </row>
    <row r="33" spans="1:6" ht="12.75">
      <c r="A33" s="1"/>
      <c r="B33" s="2">
        <f>SUM(B24:B32)</f>
        <v>843351.35</v>
      </c>
      <c r="C33" s="4">
        <f>B33/F33</f>
        <v>0.7429523242173739</v>
      </c>
      <c r="D33" s="2">
        <f>SUM(D24:D32)</f>
        <v>291783.87</v>
      </c>
      <c r="E33" s="4">
        <f>D33/F33</f>
        <v>0.25704767578262616</v>
      </c>
      <c r="F33" s="2">
        <f>SUM(F24:F32)</f>
        <v>1135135.22</v>
      </c>
    </row>
    <row r="34" spans="1:6" ht="12.75">
      <c r="A34" s="1"/>
      <c r="B34" s="2"/>
      <c r="C34" s="4"/>
      <c r="D34" s="2"/>
      <c r="E34" s="4"/>
      <c r="F34" s="2"/>
    </row>
    <row r="35" spans="1:6" ht="12.75">
      <c r="A35" s="1"/>
      <c r="B35" s="2"/>
      <c r="C35" s="4"/>
      <c r="D35" s="2"/>
      <c r="E35" s="4"/>
      <c r="F35" s="2"/>
    </row>
    <row r="36" spans="1:6" ht="12.75">
      <c r="A36" s="1"/>
      <c r="B36" s="2"/>
      <c r="C36" s="4"/>
      <c r="D36" s="2"/>
      <c r="E36" s="4"/>
      <c r="F36" s="2"/>
    </row>
    <row r="37" spans="1:6" ht="12.75">
      <c r="A37" s="1"/>
      <c r="B37" s="2"/>
      <c r="C37" s="4"/>
      <c r="D37" s="2"/>
      <c r="E37" s="4"/>
      <c r="F37" s="2"/>
    </row>
    <row r="38" spans="1:6" ht="12.75">
      <c r="A38" s="1"/>
      <c r="B38" s="2"/>
      <c r="C38" s="4"/>
      <c r="D38" s="2"/>
      <c r="E38" s="4"/>
      <c r="F38" s="2"/>
    </row>
    <row r="39" spans="1:6" ht="12.75">
      <c r="A39" s="1"/>
      <c r="B39" s="2"/>
      <c r="C39" s="4"/>
      <c r="D39" s="2"/>
      <c r="E39" s="4"/>
      <c r="F39" s="2"/>
    </row>
    <row r="40" spans="1:6" ht="12.75">
      <c r="A40" s="1"/>
      <c r="B40" s="2"/>
      <c r="C40" s="4"/>
      <c r="D40" s="2"/>
      <c r="E40" s="4"/>
      <c r="F40" s="2"/>
    </row>
    <row r="41" spans="1:6" ht="12.75">
      <c r="A41" s="1"/>
      <c r="B41" s="2"/>
      <c r="C41" s="4"/>
      <c r="D41" s="2"/>
      <c r="E41" s="4"/>
      <c r="F41" s="2"/>
    </row>
    <row r="42" spans="1:6" ht="12.75">
      <c r="A42" s="1"/>
      <c r="B42" s="2"/>
      <c r="C42" s="4"/>
      <c r="D42" s="2"/>
      <c r="E42" s="4"/>
      <c r="F42" s="2"/>
    </row>
    <row r="43" spans="1:6" ht="12.75">
      <c r="A43" s="1"/>
      <c r="B43" s="2"/>
      <c r="C43" s="4"/>
      <c r="D43" s="2"/>
      <c r="E43" s="4"/>
      <c r="F43" s="2"/>
    </row>
    <row r="44" spans="1:6" ht="12.75">
      <c r="A44" s="1"/>
      <c r="B44" s="2"/>
      <c r="C44" s="4"/>
      <c r="D44" s="2"/>
      <c r="E44" s="4"/>
      <c r="F44" s="2"/>
    </row>
    <row r="45" spans="1:6" ht="12.75">
      <c r="A45" s="1"/>
      <c r="B45" s="2"/>
      <c r="C45" s="4"/>
      <c r="D45" s="2"/>
      <c r="E45" s="4"/>
      <c r="F45" s="2"/>
    </row>
    <row r="46" spans="1:6" ht="12.75">
      <c r="A46" s="1"/>
      <c r="B46" s="2"/>
      <c r="C46" s="4"/>
      <c r="D46" s="2"/>
      <c r="E46" s="4"/>
      <c r="F46" s="2"/>
    </row>
    <row r="47" spans="1:6" ht="12.75">
      <c r="A47" s="1"/>
      <c r="B47" s="2"/>
      <c r="C47" s="4"/>
      <c r="D47" s="2"/>
      <c r="E47" s="4"/>
      <c r="F47" s="2"/>
    </row>
    <row r="48" spans="1:6" ht="12.75">
      <c r="A48" s="1"/>
      <c r="B48" s="2"/>
      <c r="C48" s="4"/>
      <c r="D48" s="2"/>
      <c r="E48" s="4"/>
      <c r="F48" s="2"/>
    </row>
    <row r="49" spans="1:6" ht="12.75">
      <c r="A49" s="1"/>
      <c r="B49" s="2"/>
      <c r="C49" s="4"/>
      <c r="D49" s="2"/>
      <c r="E49" s="4"/>
      <c r="F49" s="2"/>
    </row>
    <row r="50" spans="1:6" ht="12.75">
      <c r="A50" s="1"/>
      <c r="B50" s="2"/>
      <c r="C50" s="4"/>
      <c r="D50" s="2"/>
      <c r="E50" s="4"/>
      <c r="F50" s="2"/>
    </row>
    <row r="51" spans="1:6" ht="12.75">
      <c r="A51" s="1"/>
      <c r="B51" s="2"/>
      <c r="C51" s="4"/>
      <c r="D51" s="2"/>
      <c r="E51" s="4"/>
      <c r="F51" s="2"/>
    </row>
    <row r="52" spans="1:6" ht="12.75">
      <c r="A52" s="1"/>
      <c r="B52" s="2"/>
      <c r="C52" s="4"/>
      <c r="D52" s="2"/>
      <c r="E52" s="4"/>
      <c r="F52" s="2"/>
    </row>
    <row r="53" spans="1:6" ht="12.75">
      <c r="A53" s="1"/>
      <c r="B53" s="2"/>
      <c r="C53" s="4"/>
      <c r="D53" s="2"/>
      <c r="E53" s="4"/>
      <c r="F53" s="2"/>
    </row>
    <row r="54" spans="1:6" ht="12.75">
      <c r="A54" s="1"/>
      <c r="B54" s="2"/>
      <c r="C54" s="4"/>
      <c r="D54" s="2"/>
      <c r="E54" s="4"/>
      <c r="F54" s="2"/>
    </row>
    <row r="55" spans="1:6" ht="12.75">
      <c r="A55" s="1"/>
      <c r="B55" s="2"/>
      <c r="C55" s="4"/>
      <c r="D55" s="2"/>
      <c r="E55" s="4"/>
      <c r="F55" s="2"/>
    </row>
    <row r="56" spans="1:6" ht="12.75">
      <c r="A56" s="1"/>
      <c r="B56" s="2"/>
      <c r="C56" s="4"/>
      <c r="D56" s="2"/>
      <c r="E56" s="4"/>
      <c r="F56" s="2"/>
    </row>
    <row r="57" spans="1:6" ht="12.75">
      <c r="A57" s="1"/>
      <c r="B57" s="2"/>
      <c r="C57" s="4"/>
      <c r="D57" s="2"/>
      <c r="E57" s="4"/>
      <c r="F57" s="2"/>
    </row>
    <row r="58" spans="1:6" ht="12.75">
      <c r="A58" s="1"/>
      <c r="B58" s="2"/>
      <c r="C58" s="4"/>
      <c r="D58" s="2"/>
      <c r="E58" s="4"/>
      <c r="F58" s="2"/>
    </row>
    <row r="59" spans="1:6" ht="12.75">
      <c r="A59" s="1"/>
      <c r="B59" s="2"/>
      <c r="C59" s="4"/>
      <c r="D59" s="2"/>
      <c r="E59" s="4"/>
      <c r="F59" s="2"/>
    </row>
    <row r="60" spans="1:6" ht="12.75">
      <c r="A60" s="1"/>
      <c r="B60" s="2"/>
      <c r="C60" s="4"/>
      <c r="D60" s="2"/>
      <c r="E60" s="4"/>
      <c r="F60" s="2"/>
    </row>
    <row r="61" spans="1:6" ht="12.75">
      <c r="A61" s="1"/>
      <c r="B61" s="2"/>
      <c r="C61" s="4"/>
      <c r="D61" s="2"/>
      <c r="E61" s="4"/>
      <c r="F61" s="2"/>
    </row>
    <row r="62" spans="1:6" ht="12.75">
      <c r="A62" s="1"/>
      <c r="B62" s="2"/>
      <c r="C62" s="4"/>
      <c r="D62" s="2"/>
      <c r="E62" s="4"/>
      <c r="F62" s="2"/>
    </row>
    <row r="63" spans="1:6" ht="12.75">
      <c r="A63" s="1"/>
      <c r="B63" s="2"/>
      <c r="C63" s="4"/>
      <c r="D63" s="2"/>
      <c r="E63" s="4"/>
      <c r="F63" s="2"/>
    </row>
    <row r="64" spans="1:6" ht="12.75">
      <c r="A64" s="1"/>
      <c r="B64" s="2"/>
      <c r="C64" s="4"/>
      <c r="D64" s="2"/>
      <c r="E64" s="4"/>
      <c r="F64" s="2"/>
    </row>
    <row r="65" spans="1:6" ht="12.75">
      <c r="A65" s="1"/>
      <c r="B65" s="2"/>
      <c r="C65" s="4"/>
      <c r="D65" s="2"/>
      <c r="E65" s="4"/>
      <c r="F65" s="2"/>
    </row>
    <row r="66" spans="1:6" ht="12.75">
      <c r="A66" s="1"/>
      <c r="B66" s="2"/>
      <c r="C66" s="4"/>
      <c r="D66" s="2"/>
      <c r="E66" s="4"/>
      <c r="F66" s="2"/>
    </row>
    <row r="67" spans="1:6" ht="12.75">
      <c r="A67" s="1"/>
      <c r="B67" s="2"/>
      <c r="C67" s="4"/>
      <c r="D67" s="2"/>
      <c r="E67" s="4"/>
      <c r="F67" s="2"/>
    </row>
    <row r="68" spans="1:6" ht="12.75">
      <c r="A68" s="1"/>
      <c r="B68" s="2"/>
      <c r="C68" s="4"/>
      <c r="D68" s="2"/>
      <c r="E68" s="4"/>
      <c r="F68" s="2"/>
    </row>
    <row r="69" spans="1:6" ht="12.75">
      <c r="A69" s="1"/>
      <c r="B69" s="2"/>
      <c r="C69" s="4"/>
      <c r="D69" s="2"/>
      <c r="E69" s="4"/>
      <c r="F69" s="2"/>
    </row>
    <row r="70" spans="1:6" ht="12.75">
      <c r="A70" s="1"/>
      <c r="B70" s="2"/>
      <c r="C70" s="4"/>
      <c r="D70" s="2"/>
      <c r="E70" s="4"/>
      <c r="F70" s="2"/>
    </row>
    <row r="71" spans="1:6" ht="12.75">
      <c r="A71" s="1"/>
      <c r="B71" s="2"/>
      <c r="C71" s="4"/>
      <c r="D71" s="2"/>
      <c r="E71" s="4"/>
      <c r="F71" s="2"/>
    </row>
    <row r="72" spans="1:6" ht="12.75">
      <c r="A72" s="1"/>
      <c r="B72" s="2"/>
      <c r="C72" s="4"/>
      <c r="D72" s="2"/>
      <c r="E72" s="4"/>
      <c r="F72" s="2"/>
    </row>
    <row r="73" spans="1:6" ht="12.75">
      <c r="A73" s="1"/>
      <c r="B73" s="2"/>
      <c r="C73" s="4"/>
      <c r="D73" s="2"/>
      <c r="E73" s="4"/>
      <c r="F73" s="2"/>
    </row>
    <row r="74" spans="1:6" ht="12.75">
      <c r="A74" s="1"/>
      <c r="B74" s="2"/>
      <c r="C74" s="4"/>
      <c r="D74" s="2"/>
      <c r="E74" s="4"/>
      <c r="F74" s="2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8"/>
  </sheetPr>
  <dimension ref="A1:H65"/>
  <sheetViews>
    <sheetView defaultGridColor="0" zoomScale="90" zoomScaleNormal="9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cols>
    <col min="1" max="1" width="8.421875" style="53" customWidth="1"/>
    <col min="2" max="2" width="10.8515625" style="2" customWidth="1"/>
    <col min="3" max="3" width="11.421875" style="2" customWidth="1"/>
    <col min="4" max="4" width="17.8515625" style="7" customWidth="1"/>
    <col min="6" max="6" width="10.8515625" style="2" customWidth="1"/>
    <col min="7" max="7" width="10.140625" style="2" customWidth="1"/>
    <col min="8" max="8" width="17.8515625" style="2" customWidth="1"/>
  </cols>
  <sheetData>
    <row r="1" spans="1:8" ht="12.75">
      <c r="A1" s="54" t="s">
        <v>291</v>
      </c>
      <c r="C1" s="3" t="s">
        <v>284</v>
      </c>
      <c r="D1" s="7"/>
      <c r="F1" s="2"/>
      <c r="G1" s="2"/>
      <c r="H1" s="2"/>
    </row>
    <row r="2" spans="1:8" ht="12.75">
      <c r="A2" s="53"/>
      <c r="B2" s="2"/>
      <c r="C2" s="3" t="s">
        <v>220</v>
      </c>
      <c r="D2" s="7"/>
      <c r="F2" s="2"/>
      <c r="G2" s="2"/>
      <c r="H2" s="2"/>
    </row>
    <row r="3" spans="1:8" ht="12.75">
      <c r="A3" s="53"/>
      <c r="B3" s="7"/>
      <c r="C3" s="40"/>
      <c r="D3" s="7"/>
      <c r="F3" s="2"/>
      <c r="G3" s="2"/>
      <c r="H3" s="2"/>
    </row>
    <row r="4" spans="1:8" ht="12.75">
      <c r="A4" s="53"/>
      <c r="B4" s="3" t="s">
        <v>189</v>
      </c>
      <c r="C4" s="3" t="s">
        <v>240</v>
      </c>
      <c r="D4" s="40" t="s">
        <v>187</v>
      </c>
      <c r="F4" s="3" t="s">
        <v>189</v>
      </c>
      <c r="G4" s="3" t="s">
        <v>240</v>
      </c>
      <c r="H4" s="40" t="s">
        <v>187</v>
      </c>
    </row>
    <row r="5" spans="1:8" ht="12.75">
      <c r="A5" s="55"/>
      <c r="B5" s="40" t="s">
        <v>283</v>
      </c>
      <c r="C5" s="3" t="s">
        <v>283</v>
      </c>
      <c r="D5" s="3" t="s">
        <v>283</v>
      </c>
      <c r="F5" s="3" t="s">
        <v>200</v>
      </c>
      <c r="G5" s="40" t="s">
        <v>199</v>
      </c>
      <c r="H5" s="40" t="s">
        <v>199</v>
      </c>
    </row>
    <row r="6" spans="1:8" ht="12.75">
      <c r="A6" s="55" t="s">
        <v>317</v>
      </c>
      <c r="B6" s="3" t="s">
        <v>296</v>
      </c>
      <c r="C6" s="3" t="s">
        <v>296</v>
      </c>
      <c r="D6" s="3" t="s">
        <v>296</v>
      </c>
      <c r="F6" s="3" t="s">
        <v>296</v>
      </c>
      <c r="G6" s="3" t="s">
        <v>296</v>
      </c>
      <c r="H6" s="3" t="s">
        <v>296</v>
      </c>
    </row>
    <row r="7" spans="1:8" ht="12.75">
      <c r="A7" s="55"/>
      <c r="B7" s="3" t="s">
        <v>239</v>
      </c>
      <c r="C7" s="3" t="s">
        <v>239</v>
      </c>
      <c r="D7" s="3" t="s">
        <v>239</v>
      </c>
      <c r="F7" s="3" t="s">
        <v>239</v>
      </c>
      <c r="G7" s="3" t="s">
        <v>239</v>
      </c>
      <c r="H7" s="3" t="s">
        <v>239</v>
      </c>
    </row>
    <row r="8" spans="1:8" ht="12.75">
      <c r="A8" s="53"/>
      <c r="B8" s="2"/>
      <c r="C8" s="2"/>
      <c r="D8" s="7"/>
      <c r="F8" s="2"/>
      <c r="G8" s="2"/>
      <c r="H8" s="2"/>
    </row>
    <row r="9" spans="1:8" ht="12.75">
      <c r="A9" s="55" t="s">
        <v>67</v>
      </c>
      <c r="B9" s="7">
        <v>6858.607800000001</v>
      </c>
      <c r="C9" s="7">
        <v>6631.168069537901</v>
      </c>
      <c r="D9" s="7">
        <f>B9+C9</f>
        <v>13489.775869537902</v>
      </c>
      <c r="F9" s="7">
        <v>599.4784</v>
      </c>
      <c r="G9" s="7">
        <v>533.5079658678</v>
      </c>
      <c r="H9" s="7">
        <f>F9+G9</f>
        <v>1132.9863658678</v>
      </c>
    </row>
    <row r="10" spans="1:8" ht="12.75">
      <c r="A10" s="55" t="s">
        <v>70</v>
      </c>
      <c r="B10" s="7">
        <v>8059.545</v>
      </c>
      <c r="C10" s="7">
        <v>5027.8936388443</v>
      </c>
      <c r="D10" s="7">
        <f>B10+C10</f>
        <v>13087.4386388443</v>
      </c>
      <c r="F10" s="7">
        <v>220.7846</v>
      </c>
      <c r="G10" s="7">
        <v>713.6103663444</v>
      </c>
      <c r="H10" s="7">
        <f>F10+G10</f>
        <v>934.3949663444</v>
      </c>
    </row>
    <row r="11" spans="1:8" ht="12.75">
      <c r="A11" s="55" t="s">
        <v>71</v>
      </c>
      <c r="B11" s="7">
        <v>977.0247999999999</v>
      </c>
      <c r="C11" s="7">
        <v>4374.8328555995</v>
      </c>
      <c r="D11" s="7">
        <f>B11+C11</f>
        <v>5351.8576555995005</v>
      </c>
      <c r="F11" s="7">
        <v>132.2742</v>
      </c>
      <c r="G11" s="7">
        <v>462.68088216000007</v>
      </c>
      <c r="H11" s="7">
        <f>F11+G11</f>
        <v>594.9550821600001</v>
      </c>
    </row>
    <row r="12" spans="1:8" ht="12.75">
      <c r="A12" s="55" t="s">
        <v>73</v>
      </c>
      <c r="B12" s="7">
        <v>130.6998</v>
      </c>
      <c r="C12" s="7">
        <v>102.68342770524998</v>
      </c>
      <c r="D12" s="7">
        <f>B12+C12</f>
        <v>233.38322770525</v>
      </c>
      <c r="F12" s="7">
        <v>90.7782</v>
      </c>
      <c r="G12" s="7">
        <v>111.93137523959999</v>
      </c>
      <c r="H12" s="7">
        <f>F12+G12</f>
        <v>202.70957523959999</v>
      </c>
    </row>
    <row r="13" spans="1:8" ht="12.75">
      <c r="A13" s="55" t="s">
        <v>74</v>
      </c>
      <c r="B13" s="7">
        <v>517.3729999999999</v>
      </c>
      <c r="C13" s="7">
        <v>5.910782535</v>
      </c>
      <c r="D13" s="7">
        <f>B13+C13</f>
        <v>523.2837825349999</v>
      </c>
      <c r="F13" s="7">
        <v>64.3362</v>
      </c>
      <c r="G13" s="7">
        <v>2.5503252180000002</v>
      </c>
      <c r="H13" s="7">
        <f>F13+G13</f>
        <v>66.886525218</v>
      </c>
    </row>
    <row r="14" spans="1:8" ht="12.75">
      <c r="A14" s="55" t="s">
        <v>76</v>
      </c>
      <c r="B14" s="7">
        <v>1460.6368</v>
      </c>
      <c r="C14" s="7">
        <v>101.81557471400001</v>
      </c>
      <c r="D14" s="7">
        <f>B14+C14</f>
        <v>1562.452374714</v>
      </c>
      <c r="F14" s="7">
        <v>63.525999999999996</v>
      </c>
      <c r="G14" s="7">
        <v>581.075202477</v>
      </c>
      <c r="H14" s="7">
        <f>F14+G14</f>
        <v>644.6012024769999</v>
      </c>
    </row>
    <row r="15" spans="1:8" ht="12.75">
      <c r="A15" s="55" t="s">
        <v>78</v>
      </c>
      <c r="B15" s="7">
        <v>1415.0939999999998</v>
      </c>
      <c r="C15" s="7">
        <v>62.508870856250006</v>
      </c>
      <c r="D15" s="7">
        <f>B15+C15</f>
        <v>1477.6028708562499</v>
      </c>
      <c r="F15" s="7">
        <v>26.718600000000002</v>
      </c>
      <c r="G15" s="7">
        <v>226.05965250959997</v>
      </c>
      <c r="H15" s="7">
        <f>F15+G15</f>
        <v>252.77825250959998</v>
      </c>
    </row>
    <row r="16" spans="1:8" ht="12.75">
      <c r="A16" s="55" t="s">
        <v>80</v>
      </c>
      <c r="B16" s="7">
        <v>3432.9149999999995</v>
      </c>
      <c r="C16" s="7">
        <v>0</v>
      </c>
      <c r="D16" s="7">
        <f>B16+C16</f>
        <v>3432.9149999999995</v>
      </c>
      <c r="F16" s="7">
        <v>488.1184</v>
      </c>
      <c r="G16" s="7">
        <v>6.5956011492</v>
      </c>
      <c r="H16" s="7">
        <f>F16+G16</f>
        <v>494.7140011492</v>
      </c>
    </row>
    <row r="17" spans="1:8" ht="12.75">
      <c r="A17" s="55" t="s">
        <v>83</v>
      </c>
      <c r="B17" s="7">
        <v>5168.090399999999</v>
      </c>
      <c r="C17" s="7">
        <v>4451.64957306825</v>
      </c>
      <c r="D17" s="7">
        <f>B17+C17</f>
        <v>9619.739973068248</v>
      </c>
      <c r="F17" s="7">
        <v>1288.1566</v>
      </c>
      <c r="G17" s="7">
        <v>243.1683697254</v>
      </c>
      <c r="H17" s="7">
        <f>F17+G17</f>
        <v>1531.3249697254</v>
      </c>
    </row>
    <row r="18" spans="1:8" ht="12.75">
      <c r="A18" s="55" t="s">
        <v>85</v>
      </c>
      <c r="B18" s="7">
        <v>2422.654</v>
      </c>
      <c r="C18" s="7">
        <v>7313.98354442</v>
      </c>
      <c r="D18" s="7">
        <f>B18+C18</f>
        <v>9736.63754442</v>
      </c>
      <c r="F18" s="7">
        <v>538.6692</v>
      </c>
      <c r="G18" s="7">
        <v>261.2017633974</v>
      </c>
      <c r="H18" s="7">
        <f>F18+G18</f>
        <v>799.8709633974</v>
      </c>
    </row>
    <row r="19" spans="1:8" ht="12.75">
      <c r="A19" s="55" t="s">
        <v>87</v>
      </c>
      <c r="B19" s="7">
        <v>834.6826000000001</v>
      </c>
      <c r="C19" s="7">
        <v>9341.494540259</v>
      </c>
      <c r="D19" s="7">
        <f>B19+C19</f>
        <v>10176.177140259</v>
      </c>
      <c r="F19" s="7">
        <v>404.477</v>
      </c>
      <c r="G19" s="7">
        <v>380.05083460259993</v>
      </c>
      <c r="H19" s="7">
        <f>F19+G19</f>
        <v>784.5278346025999</v>
      </c>
    </row>
    <row r="20" spans="1:8" ht="12.75">
      <c r="A20" s="55" t="s">
        <v>89</v>
      </c>
      <c r="B20" s="7">
        <v>995.231</v>
      </c>
      <c r="C20" s="7">
        <v>5577.46600209575</v>
      </c>
      <c r="D20" s="7">
        <f>B20+C20</f>
        <v>6572.69700209575</v>
      </c>
      <c r="F20" s="7">
        <v>219.44879999999998</v>
      </c>
      <c r="G20" s="7">
        <v>52.81836112812</v>
      </c>
      <c r="H20" s="7">
        <f>F20+G20</f>
        <v>272.26716112812</v>
      </c>
    </row>
    <row r="21" spans="1:8" ht="12.75">
      <c r="A21" s="55" t="s">
        <v>90</v>
      </c>
      <c r="B21" s="7">
        <v>926.7850249999999</v>
      </c>
      <c r="C21" s="7">
        <v>4553.0617134187505</v>
      </c>
      <c r="D21" s="7">
        <f>B21+C21</f>
        <v>5479.846738418751</v>
      </c>
      <c r="F21" s="7">
        <v>129.749025</v>
      </c>
      <c r="G21" s="7">
        <v>112.9382886702</v>
      </c>
      <c r="H21" s="7">
        <f>F21+G21</f>
        <v>242.68731367019998</v>
      </c>
    </row>
    <row r="22" spans="1:8" ht="12.75">
      <c r="A22" s="55" t="s">
        <v>93</v>
      </c>
      <c r="B22" s="7">
        <v>1270.839775</v>
      </c>
      <c r="C22" s="7">
        <v>2524.8329797005</v>
      </c>
      <c r="D22" s="7">
        <f>B22+C22</f>
        <v>3795.6727547005</v>
      </c>
      <c r="F22" s="7">
        <v>268.982625</v>
      </c>
      <c r="G22" s="7">
        <v>19.3075772694</v>
      </c>
      <c r="H22" s="7">
        <f>F22+G22</f>
        <v>288.29020226939997</v>
      </c>
    </row>
    <row r="23" spans="1:8" ht="12.75">
      <c r="A23" s="55" t="s">
        <v>94</v>
      </c>
      <c r="B23" s="7">
        <v>2490.94</v>
      </c>
      <c r="C23" s="7">
        <v>4872.96377862875</v>
      </c>
      <c r="D23" s="7">
        <f>B23+C23</f>
        <v>7363.90377862875</v>
      </c>
      <c r="F23" s="7">
        <v>278.92587566895656</v>
      </c>
      <c r="G23" s="7">
        <v>474.6333202324</v>
      </c>
      <c r="H23" s="7">
        <f>F23+G23</f>
        <v>753.5591959013566</v>
      </c>
    </row>
    <row r="24" spans="1:8" ht="12.75">
      <c r="A24" s="55" t="s">
        <v>96</v>
      </c>
      <c r="B24" s="7">
        <v>4313.544</v>
      </c>
      <c r="C24" s="7">
        <v>3157.83604</v>
      </c>
      <c r="D24" s="7">
        <f>B24+C24</f>
        <v>7471.38004</v>
      </c>
      <c r="F24" s="7">
        <v>516.6035577073845</v>
      </c>
      <c r="G24" s="7">
        <v>538.8708199999999</v>
      </c>
      <c r="H24" s="7">
        <f>F24+G24</f>
        <v>1055.4743777073845</v>
      </c>
    </row>
    <row r="25" spans="1:8" ht="12.75">
      <c r="A25" s="55" t="s">
        <v>98</v>
      </c>
      <c r="B25" s="7">
        <v>3633.2119999999995</v>
      </c>
      <c r="C25" s="7">
        <v>1383.72958</v>
      </c>
      <c r="D25" s="7">
        <f>B25+C25</f>
        <v>5016.94158</v>
      </c>
      <c r="F25" s="7">
        <v>1523.1151821296671</v>
      </c>
      <c r="G25" s="7">
        <v>311.47950000000003</v>
      </c>
      <c r="H25" s="7">
        <f>F25+G25</f>
        <v>1834.594682129667</v>
      </c>
    </row>
    <row r="26" spans="1:8" ht="12.75">
      <c r="A26" s="55" t="s">
        <v>100</v>
      </c>
      <c r="B26" s="7">
        <v>1089.0120000000002</v>
      </c>
      <c r="C26" s="7">
        <v>1640.3828200000003</v>
      </c>
      <c r="D26" s="7">
        <f>B26+C26</f>
        <v>2729.3948200000004</v>
      </c>
      <c r="F26" s="7">
        <v>694.5990924484996</v>
      </c>
      <c r="G26" s="7">
        <v>257.69901999999996</v>
      </c>
      <c r="H26" s="7">
        <f>F26+G26</f>
        <v>952.2981124484995</v>
      </c>
    </row>
    <row r="27" spans="1:8" ht="12.75">
      <c r="A27" s="55" t="s">
        <v>101</v>
      </c>
      <c r="B27" s="7">
        <v>79.145</v>
      </c>
      <c r="C27" s="7">
        <v>705.12202</v>
      </c>
      <c r="D27" s="7">
        <f>B27+C27</f>
        <v>784.26702</v>
      </c>
      <c r="F27" s="7">
        <v>589.8412210042836</v>
      </c>
      <c r="G27" s="7">
        <v>145.09390000000002</v>
      </c>
      <c r="H27" s="7">
        <f>F27+G27</f>
        <v>734.9351210042837</v>
      </c>
    </row>
    <row r="28" spans="1:8" ht="12.75">
      <c r="A28" s="55" t="s">
        <v>103</v>
      </c>
      <c r="B28" s="7">
        <v>3148.2065000000002</v>
      </c>
      <c r="C28" s="7">
        <v>1904.1976600000003</v>
      </c>
      <c r="D28" s="7">
        <f>B28+C28</f>
        <v>5052.40416</v>
      </c>
      <c r="F28" s="7">
        <v>442.1358500104744</v>
      </c>
      <c r="G28" s="7">
        <v>1306.5881800000002</v>
      </c>
      <c r="H28" s="7">
        <f>F28+G28</f>
        <v>1748.7240300104745</v>
      </c>
    </row>
    <row r="29" spans="1:8" ht="12.75">
      <c r="A29" s="55" t="s">
        <v>107</v>
      </c>
      <c r="B29" s="7">
        <v>9244.7005</v>
      </c>
      <c r="C29" s="7">
        <v>2979.8750000000005</v>
      </c>
      <c r="D29" s="7">
        <f>B29+C29</f>
        <v>12224.5755</v>
      </c>
      <c r="F29" s="7">
        <v>736.4216980422368</v>
      </c>
      <c r="G29" s="7">
        <v>240.98978000000002</v>
      </c>
      <c r="H29" s="7">
        <f>F29+G29</f>
        <v>977.4114780422368</v>
      </c>
    </row>
    <row r="30" spans="1:8" ht="12.75">
      <c r="A30" s="55" t="s">
        <v>110</v>
      </c>
      <c r="B30" s="7">
        <v>4616.832</v>
      </c>
      <c r="C30" s="7">
        <v>2896.2798</v>
      </c>
      <c r="D30" s="7">
        <f>B30+C30</f>
        <v>7513.111800000001</v>
      </c>
      <c r="F30" s="7">
        <v>189.15964849865358</v>
      </c>
      <c r="G30" s="7">
        <v>136.23218000000003</v>
      </c>
      <c r="H30" s="7">
        <f>F30+G30</f>
        <v>325.3918284986536</v>
      </c>
    </row>
    <row r="31" spans="1:8" ht="12.75">
      <c r="A31" s="55" t="s">
        <v>112</v>
      </c>
      <c r="B31" s="7">
        <v>5684.093999999999</v>
      </c>
      <c r="C31" s="7">
        <v>5364.987139999999</v>
      </c>
      <c r="D31" s="7">
        <f>B31+C31</f>
        <v>11049.081139999998</v>
      </c>
      <c r="F31" s="7">
        <v>406.71882832504554</v>
      </c>
      <c r="G31" s="7">
        <v>138.66308</v>
      </c>
      <c r="H31" s="7">
        <f>F31+G31</f>
        <v>545.3819083250455</v>
      </c>
    </row>
    <row r="32" spans="1:8" ht="12.75">
      <c r="A32" s="55" t="s">
        <v>114</v>
      </c>
      <c r="B32" s="7">
        <v>5707.031999999999</v>
      </c>
      <c r="C32" s="7">
        <v>2317.44568</v>
      </c>
      <c r="D32" s="7">
        <f>B32+C32</f>
        <v>8024.477679999999</v>
      </c>
      <c r="F32" s="7">
        <v>963.7923382448059</v>
      </c>
      <c r="G32" s="7">
        <v>543.90004</v>
      </c>
      <c r="H32" s="7">
        <f>F32+G32</f>
        <v>1507.692378244806</v>
      </c>
    </row>
    <row r="33" spans="1:8" ht="12.75">
      <c r="A33" s="55" t="s">
        <v>119</v>
      </c>
      <c r="B33" s="7">
        <v>22029.731</v>
      </c>
      <c r="C33" s="7">
        <v>1458.28256</v>
      </c>
      <c r="D33" s="7">
        <f>B33+C33</f>
        <v>23488.01356</v>
      </c>
      <c r="F33" s="7">
        <v>1992.0834378125867</v>
      </c>
      <c r="G33" s="7">
        <v>731.6303</v>
      </c>
      <c r="H33" s="7">
        <f>F33+G33</f>
        <v>2723.7137378125867</v>
      </c>
    </row>
    <row r="34" spans="1:8" ht="12.75">
      <c r="A34" s="55" t="s">
        <v>126</v>
      </c>
      <c r="B34" s="7">
        <v>9428.8552</v>
      </c>
      <c r="C34" s="7">
        <v>5954.00742</v>
      </c>
      <c r="D34" s="7">
        <f>B34+C34</f>
        <v>15382.86262</v>
      </c>
      <c r="F34" s="7">
        <v>136.58274269205762</v>
      </c>
      <c r="G34" s="7">
        <v>757.69668</v>
      </c>
      <c r="H34" s="7">
        <f>F34+G34</f>
        <v>894.2794226920577</v>
      </c>
    </row>
    <row r="35" spans="1:8" ht="12.75">
      <c r="A35" s="55" t="s">
        <v>131</v>
      </c>
      <c r="B35" s="7">
        <v>4152.477499999999</v>
      </c>
      <c r="C35" s="7">
        <v>12146.068839999998</v>
      </c>
      <c r="D35" s="7">
        <f>B35+C35</f>
        <v>16298.546339999997</v>
      </c>
      <c r="F35" s="7">
        <v>137.53297653488508</v>
      </c>
      <c r="G35" s="7">
        <v>652.079658</v>
      </c>
      <c r="H35" s="7">
        <f>F35+G35</f>
        <v>789.612634534885</v>
      </c>
    </row>
    <row r="36" spans="1:8" ht="12.75">
      <c r="A36" s="55" t="s">
        <v>136</v>
      </c>
      <c r="B36" s="7">
        <v>24263.302600000003</v>
      </c>
      <c r="C36" s="7">
        <v>8377.73846</v>
      </c>
      <c r="D36" s="7">
        <f>B36+C36</f>
        <v>32641.041060000003</v>
      </c>
      <c r="F36" s="7">
        <v>255.82783956574772</v>
      </c>
      <c r="G36" s="7">
        <v>580.5067</v>
      </c>
      <c r="H36" s="7">
        <f>F36+G36</f>
        <v>836.3345395657477</v>
      </c>
    </row>
    <row r="37" spans="1:8" ht="12.75">
      <c r="A37" s="55" t="s">
        <v>137</v>
      </c>
      <c r="B37" s="7">
        <v>11097.4318</v>
      </c>
      <c r="C37" s="7">
        <v>18194.098619999997</v>
      </c>
      <c r="D37" s="7">
        <f>B37+C37</f>
        <v>29291.530419999996</v>
      </c>
      <c r="F37" s="7">
        <v>236.16042058685903</v>
      </c>
      <c r="G37" s="7">
        <v>266.85844</v>
      </c>
      <c r="H37" s="7">
        <f>F37+G37</f>
        <v>503.018860586859</v>
      </c>
    </row>
    <row r="38" spans="1:8" ht="12.75">
      <c r="A38" s="55" t="s">
        <v>139</v>
      </c>
      <c r="B38" s="7">
        <v>8806.1662</v>
      </c>
      <c r="C38" s="7">
        <v>12347.59306</v>
      </c>
      <c r="D38" s="7">
        <f>B38+C38</f>
        <v>21153.75926</v>
      </c>
      <c r="F38" s="7">
        <v>102.63319943361721</v>
      </c>
      <c r="G38" s="7">
        <v>77.03162</v>
      </c>
      <c r="H38" s="7">
        <f>F38+G38</f>
        <v>179.6648194336172</v>
      </c>
    </row>
    <row r="39" spans="1:8" ht="12.75">
      <c r="A39" s="55" t="s">
        <v>141</v>
      </c>
      <c r="B39" s="7">
        <v>8071.535000000001</v>
      </c>
      <c r="C39" s="7">
        <v>6590.9849</v>
      </c>
      <c r="D39" s="7">
        <f>B39+C39</f>
        <v>14662.519900000001</v>
      </c>
      <c r="F39" s="7">
        <v>76.19679298926587</v>
      </c>
      <c r="G39" s="7">
        <v>38.36094000000001</v>
      </c>
      <c r="H39" s="7">
        <f>F39+G39</f>
        <v>114.55773298926587</v>
      </c>
    </row>
    <row r="40" spans="1:8" ht="12.75">
      <c r="A40" s="55" t="s">
        <v>145</v>
      </c>
      <c r="B40" s="7">
        <v>16056.314000000002</v>
      </c>
      <c r="C40" s="7">
        <v>1396.0986</v>
      </c>
      <c r="D40" s="7">
        <f>B40+C40</f>
        <v>17452.412600000003</v>
      </c>
      <c r="F40" s="7">
        <v>337.31778164665093</v>
      </c>
      <c r="G40" s="7">
        <v>154.52042</v>
      </c>
      <c r="H40" s="7">
        <f>F40+G40</f>
        <v>491.83820164665093</v>
      </c>
    </row>
    <row r="41" spans="1:8" ht="12.75">
      <c r="A41" s="55" t="s">
        <v>147</v>
      </c>
      <c r="B41" s="7">
        <v>6405.349399999999</v>
      </c>
      <c r="C41" s="7">
        <v>10124.387639999999</v>
      </c>
      <c r="D41" s="7">
        <f>B41+C41</f>
        <v>16529.73704</v>
      </c>
      <c r="F41" s="7">
        <v>185.2058399059643</v>
      </c>
      <c r="G41" s="7">
        <v>52.10798</v>
      </c>
      <c r="H41" s="7">
        <f>F41+G41</f>
        <v>237.3138199059643</v>
      </c>
    </row>
    <row r="42" spans="1:8" ht="12.75">
      <c r="A42" s="55" t="s">
        <v>149</v>
      </c>
      <c r="B42" s="7">
        <v>18653.3626</v>
      </c>
      <c r="C42" s="7">
        <v>10673.4936</v>
      </c>
      <c r="D42" s="7">
        <f>B42+C42</f>
        <v>29326.856200000002</v>
      </c>
      <c r="F42" s="7">
        <v>178.4982718875066</v>
      </c>
      <c r="G42" s="7">
        <v>9.365639999999999</v>
      </c>
      <c r="H42" s="7">
        <f>F42+G42</f>
        <v>187.86391188750662</v>
      </c>
    </row>
    <row r="43" spans="1:8" ht="12.75">
      <c r="A43" s="55" t="s">
        <v>151</v>
      </c>
      <c r="B43" s="7">
        <v>7461.689686025</v>
      </c>
      <c r="C43" s="7">
        <v>2287.9720399999997</v>
      </c>
      <c r="D43" s="7">
        <f>B43+C43</f>
        <v>9749.661726024999</v>
      </c>
      <c r="F43" s="7">
        <v>131.63665396365576</v>
      </c>
      <c r="G43" s="7">
        <v>394.86026</v>
      </c>
      <c r="H43" s="7">
        <f>F43+G43</f>
        <v>526.4969139636557</v>
      </c>
    </row>
    <row r="44" spans="2:7" ht="12.75">
      <c r="B44" s="2"/>
      <c r="C44" s="2"/>
      <c r="D44" s="7"/>
      <c r="G44" s="2"/>
    </row>
    <row r="45" spans="2:7" ht="12.75">
      <c r="B45" s="2"/>
      <c r="C45" s="2"/>
      <c r="D45" s="7"/>
      <c r="G45" s="2"/>
    </row>
    <row r="46" spans="2:7" ht="12.75">
      <c r="B46" s="2"/>
      <c r="C46" s="2"/>
      <c r="D46" s="7"/>
      <c r="G46" s="2"/>
    </row>
    <row r="47" spans="2:7" ht="12.75">
      <c r="B47" s="2"/>
      <c r="C47" s="2"/>
      <c r="D47" s="7"/>
      <c r="G47" s="2"/>
    </row>
    <row r="48" spans="2:7" ht="12.75">
      <c r="B48" s="2"/>
      <c r="C48" s="2"/>
      <c r="D48" s="7"/>
      <c r="G48" s="2"/>
    </row>
    <row r="49" spans="2:7" ht="12.75">
      <c r="B49" s="2"/>
      <c r="C49" s="2"/>
      <c r="D49" s="7"/>
      <c r="G49" s="2"/>
    </row>
    <row r="50" spans="2:7" ht="12.75">
      <c r="B50" s="2"/>
      <c r="C50" s="2"/>
      <c r="D50" s="7"/>
      <c r="G50" s="2"/>
    </row>
    <row r="51" spans="2:7" ht="12.75">
      <c r="B51" s="2"/>
      <c r="C51" s="2"/>
      <c r="D51" s="7"/>
      <c r="G51" s="2"/>
    </row>
    <row r="52" spans="2:7" ht="12.75">
      <c r="B52" s="2"/>
      <c r="C52" s="2"/>
      <c r="D52" s="7"/>
      <c r="G52" s="2"/>
    </row>
    <row r="53" spans="2:7" ht="12.75">
      <c r="B53" s="2"/>
      <c r="C53" s="2"/>
      <c r="D53" s="7"/>
      <c r="G53" s="2"/>
    </row>
    <row r="54" spans="2:4" ht="12.75">
      <c r="B54" s="2"/>
      <c r="C54" s="2"/>
      <c r="D54" s="7"/>
    </row>
    <row r="55" spans="2:4" ht="12.75">
      <c r="B55" s="2"/>
      <c r="C55" s="2"/>
      <c r="D55" s="7"/>
    </row>
    <row r="56" spans="2:4" ht="12.75">
      <c r="B56" s="2"/>
      <c r="C56" s="2"/>
      <c r="D56" s="7"/>
    </row>
    <row r="57" spans="2:4" ht="12.75">
      <c r="B57" s="2"/>
      <c r="C57" s="2"/>
      <c r="D57" s="7"/>
    </row>
    <row r="58" spans="2:4" ht="12.75">
      <c r="B58" s="2"/>
      <c r="C58" s="2"/>
      <c r="D58" s="7"/>
    </row>
    <row r="59" spans="2:4" ht="12.75">
      <c r="B59" s="2"/>
      <c r="C59" s="2"/>
      <c r="D59" s="7"/>
    </row>
    <row r="60" spans="2:4" ht="12.75">
      <c r="B60" s="2"/>
      <c r="C60" s="2"/>
      <c r="D60" s="7"/>
    </row>
    <row r="61" spans="2:4" ht="12.75">
      <c r="B61" s="2"/>
      <c r="C61" s="2"/>
      <c r="D61" s="7"/>
    </row>
    <row r="62" spans="2:4" ht="12.75">
      <c r="B62" s="2"/>
      <c r="C62" s="2"/>
      <c r="D62" s="7"/>
    </row>
    <row r="63" spans="2:4" ht="12.75">
      <c r="B63" s="2"/>
      <c r="C63" s="2"/>
      <c r="D63" s="7"/>
    </row>
    <row r="64" spans="2:4" ht="12.75">
      <c r="B64" s="2"/>
      <c r="C64" s="2"/>
      <c r="D64" s="7"/>
    </row>
    <row r="65" spans="2:4" ht="12.75">
      <c r="B65" s="2"/>
      <c r="C65" s="2"/>
      <c r="D65" s="7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H83"/>
  <sheetViews>
    <sheetView defaultGridColor="0" colorId="0" workbookViewId="0" topLeftCell="A1">
      <pane xSplit="1" ySplit="8" topLeftCell="B9" activePane="bottomRight" state="frozen"/>
      <selection pane="bottomRight" activeCell="B9" sqref="B9"/>
    </sheetView>
  </sheetViews>
  <sheetFormatPr defaultColWidth="9.140625" defaultRowHeight="12.75"/>
  <cols>
    <col min="1" max="1" width="8.421875" style="53" customWidth="1"/>
    <col min="2" max="2" width="10.421875" style="2" customWidth="1"/>
    <col min="3" max="3" width="9.7109375" style="2" customWidth="1"/>
    <col min="4" max="4" width="17.421875" style="7" customWidth="1"/>
    <col min="6" max="7" width="10.421875" style="2" customWidth="1"/>
    <col min="8" max="8" width="17.421875" style="2" customWidth="1"/>
  </cols>
  <sheetData>
    <row r="1" spans="1:8" ht="12.75">
      <c r="A1" s="54" t="s">
        <v>291</v>
      </c>
      <c r="C1" s="3" t="s">
        <v>284</v>
      </c>
      <c r="D1" s="7"/>
      <c r="F1" s="2"/>
      <c r="G1" s="2"/>
      <c r="H1" s="2"/>
    </row>
    <row r="2" spans="1:8" ht="12.75">
      <c r="A2" s="53"/>
      <c r="B2" s="2"/>
      <c r="C2" s="3" t="s">
        <v>220</v>
      </c>
      <c r="D2" s="7"/>
      <c r="F2" s="2"/>
      <c r="G2" s="2"/>
      <c r="H2" s="2"/>
    </row>
    <row r="3" spans="1:8" ht="12.75">
      <c r="A3" s="53"/>
      <c r="B3" s="7"/>
      <c r="C3" s="40"/>
      <c r="D3" s="7"/>
      <c r="F3" s="2"/>
      <c r="G3" s="2"/>
      <c r="H3" s="2"/>
    </row>
    <row r="4" spans="1:8" ht="12.75">
      <c r="A4" s="53"/>
      <c r="B4" s="3" t="s">
        <v>189</v>
      </c>
      <c r="C4" s="3" t="s">
        <v>240</v>
      </c>
      <c r="D4" s="40" t="s">
        <v>187</v>
      </c>
      <c r="F4" s="3" t="s">
        <v>189</v>
      </c>
      <c r="G4" s="3" t="s">
        <v>240</v>
      </c>
      <c r="H4" s="40" t="s">
        <v>187</v>
      </c>
    </row>
    <row r="5" spans="1:8" ht="12.75">
      <c r="A5" s="55"/>
      <c r="B5" s="40" t="s">
        <v>283</v>
      </c>
      <c r="C5" s="3" t="s">
        <v>283</v>
      </c>
      <c r="D5" s="3" t="s">
        <v>283</v>
      </c>
      <c r="F5" s="3" t="s">
        <v>200</v>
      </c>
      <c r="G5" s="40" t="s">
        <v>199</v>
      </c>
      <c r="H5" s="40" t="s">
        <v>199</v>
      </c>
    </row>
    <row r="6" spans="1:8" ht="12.75">
      <c r="A6" s="55" t="s">
        <v>317</v>
      </c>
      <c r="B6" s="3" t="s">
        <v>296</v>
      </c>
      <c r="C6" s="3" t="s">
        <v>296</v>
      </c>
      <c r="D6" s="3" t="s">
        <v>296</v>
      </c>
      <c r="F6" s="3" t="s">
        <v>296</v>
      </c>
      <c r="G6" s="3" t="s">
        <v>296</v>
      </c>
      <c r="H6" s="3" t="s">
        <v>296</v>
      </c>
    </row>
    <row r="7" spans="1:8" ht="12.75">
      <c r="A7" s="55"/>
      <c r="B7" s="3" t="s">
        <v>239</v>
      </c>
      <c r="C7" s="3" t="s">
        <v>239</v>
      </c>
      <c r="D7" s="3" t="s">
        <v>239</v>
      </c>
      <c r="F7" s="3" t="s">
        <v>239</v>
      </c>
      <c r="G7" s="3" t="s">
        <v>239</v>
      </c>
      <c r="H7" s="3" t="s">
        <v>239</v>
      </c>
    </row>
    <row r="8" spans="1:8" ht="12.75">
      <c r="A8" s="53"/>
      <c r="B8" s="2"/>
      <c r="C8" s="2"/>
      <c r="D8" s="7"/>
      <c r="F8" s="2"/>
      <c r="G8" s="2"/>
      <c r="H8" s="2"/>
    </row>
    <row r="9" spans="1:8" ht="12.75">
      <c r="A9" s="55" t="s">
        <v>67</v>
      </c>
      <c r="B9" s="7">
        <v>6858.607800000001</v>
      </c>
      <c r="C9" s="7">
        <v>6631.168069537901</v>
      </c>
      <c r="D9" s="7">
        <f>B9+C9</f>
        <v>13489.775869537902</v>
      </c>
      <c r="F9" s="7">
        <v>599.4784</v>
      </c>
      <c r="G9" s="7">
        <v>533.5079658678</v>
      </c>
      <c r="H9" s="7">
        <f>F9+G9</f>
        <v>1132.9863658678</v>
      </c>
    </row>
    <row r="10" spans="1:8" ht="12.75">
      <c r="A10" s="55" t="s">
        <v>70</v>
      </c>
      <c r="B10" s="7">
        <v>8059.545</v>
      </c>
      <c r="C10" s="7">
        <v>5027.8936388443</v>
      </c>
      <c r="D10" s="7">
        <f>B10+C10</f>
        <v>13087.4386388443</v>
      </c>
      <c r="F10" s="7">
        <v>220.7846</v>
      </c>
      <c r="G10" s="7">
        <v>713.6103663444</v>
      </c>
      <c r="H10" s="7">
        <f>F10+G10</f>
        <v>934.3949663444</v>
      </c>
    </row>
    <row r="11" spans="1:8" ht="12.75">
      <c r="A11" s="55" t="s">
        <v>71</v>
      </c>
      <c r="B11" s="7">
        <v>977.0247999999999</v>
      </c>
      <c r="C11" s="7">
        <v>4374.8328555995</v>
      </c>
      <c r="D11" s="7">
        <f>B11+C11</f>
        <v>5351.8576555995005</v>
      </c>
      <c r="F11" s="7">
        <v>132.2742</v>
      </c>
      <c r="G11" s="7">
        <v>462.68088216000007</v>
      </c>
      <c r="H11" s="7">
        <f>F11+G11</f>
        <v>594.9550821600001</v>
      </c>
    </row>
    <row r="12" spans="1:8" ht="12.75">
      <c r="A12" s="55" t="s">
        <v>73</v>
      </c>
      <c r="B12" s="7">
        <v>130.6998</v>
      </c>
      <c r="C12" s="7">
        <v>102.68342770524998</v>
      </c>
      <c r="D12" s="7">
        <f>B12+C12</f>
        <v>233.38322770525</v>
      </c>
      <c r="F12" s="7">
        <v>90.7782</v>
      </c>
      <c r="G12" s="7">
        <v>111.93137523959999</v>
      </c>
      <c r="H12" s="7">
        <f>F12+G12</f>
        <v>202.70957523959999</v>
      </c>
    </row>
    <row r="13" spans="1:8" ht="12.75">
      <c r="A13" s="55" t="s">
        <v>74</v>
      </c>
      <c r="B13" s="7">
        <v>517.3729999999999</v>
      </c>
      <c r="C13" s="7">
        <v>5.910782535</v>
      </c>
      <c r="D13" s="7">
        <f>B13+C13</f>
        <v>523.2837825349999</v>
      </c>
      <c r="F13" s="7">
        <v>64.3362</v>
      </c>
      <c r="G13" s="7">
        <v>2.5503252180000002</v>
      </c>
      <c r="H13" s="7">
        <f>F13+G13</f>
        <v>66.886525218</v>
      </c>
    </row>
    <row r="14" spans="1:8" ht="12.75">
      <c r="A14" s="55"/>
      <c r="B14" s="2"/>
      <c r="C14" s="2"/>
      <c r="D14" s="2"/>
      <c r="F14" s="2"/>
      <c r="G14" s="2"/>
      <c r="H14" s="2"/>
    </row>
    <row r="15" spans="1:8" ht="12.75">
      <c r="A15" s="55" t="s">
        <v>68</v>
      </c>
      <c r="B15" s="2">
        <f>AVERAGE(B9:B14)</f>
        <v>3308.6500800000003</v>
      </c>
      <c r="C15" s="2">
        <f>AVERAGE(C9:C14)</f>
        <v>3228.49775484439</v>
      </c>
      <c r="D15" s="2">
        <f>AVERAGE(D9:D14)</f>
        <v>6537.147834844391</v>
      </c>
      <c r="F15" s="2">
        <f>AVERAGE(F9:F14)</f>
        <v>221.53032</v>
      </c>
      <c r="G15" s="2">
        <f>AVERAGE(G9:G14)</f>
        <v>364.85618296595993</v>
      </c>
      <c r="H15" s="2">
        <f>AVERAGE(H9:H14)</f>
        <v>586.38650296596</v>
      </c>
    </row>
    <row r="16" spans="1:8" ht="12.75">
      <c r="A16" s="55"/>
      <c r="B16" s="2"/>
      <c r="C16" s="2"/>
      <c r="D16" s="2"/>
      <c r="F16" s="2"/>
      <c r="G16" s="2"/>
      <c r="H16" s="2"/>
    </row>
    <row r="17" spans="1:8" ht="12.75">
      <c r="A17" s="55" t="s">
        <v>76</v>
      </c>
      <c r="B17" s="7">
        <v>1460.6368</v>
      </c>
      <c r="C17" s="7">
        <v>101.81557471400001</v>
      </c>
      <c r="D17" s="7">
        <f>B17+C17</f>
        <v>1562.452374714</v>
      </c>
      <c r="F17" s="7">
        <v>63.525999999999996</v>
      </c>
      <c r="G17" s="7">
        <v>581.075202477</v>
      </c>
      <c r="H17" s="7">
        <f>F17+G17</f>
        <v>644.6012024769999</v>
      </c>
    </row>
    <row r="18" spans="1:8" ht="12.75">
      <c r="A18" s="55" t="s">
        <v>78</v>
      </c>
      <c r="B18" s="7">
        <v>1415.0939999999998</v>
      </c>
      <c r="C18" s="7">
        <v>62.508870856250006</v>
      </c>
      <c r="D18" s="7">
        <f>B18+C18</f>
        <v>1477.6028708562499</v>
      </c>
      <c r="F18" s="7">
        <v>26.718600000000002</v>
      </c>
      <c r="G18" s="7">
        <v>226.05965250959997</v>
      </c>
      <c r="H18" s="7">
        <f>F18+G18</f>
        <v>252.77825250959998</v>
      </c>
    </row>
    <row r="19" spans="1:8" ht="12.75">
      <c r="A19" s="55" t="s">
        <v>80</v>
      </c>
      <c r="B19" s="7">
        <v>3432.9149999999995</v>
      </c>
      <c r="C19" s="7">
        <v>0</v>
      </c>
      <c r="D19" s="7">
        <f>B19+C19</f>
        <v>3432.9149999999995</v>
      </c>
      <c r="F19" s="7">
        <v>488.1184</v>
      </c>
      <c r="G19" s="7">
        <v>6.5956011492</v>
      </c>
      <c r="H19" s="7">
        <f>F19+G19</f>
        <v>494.7140011492</v>
      </c>
    </row>
    <row r="20" spans="1:8" ht="12.75">
      <c r="A20" s="55" t="s">
        <v>83</v>
      </c>
      <c r="B20" s="7">
        <v>5168.090399999999</v>
      </c>
      <c r="C20" s="7">
        <v>4451.64957306825</v>
      </c>
      <c r="D20" s="7">
        <f>B20+C20</f>
        <v>9619.739973068248</v>
      </c>
      <c r="F20" s="7">
        <v>1288.1566</v>
      </c>
      <c r="G20" s="7">
        <v>243.1683697254</v>
      </c>
      <c r="H20" s="7">
        <f>F20+G20</f>
        <v>1531.3249697254</v>
      </c>
    </row>
    <row r="21" spans="1:8" ht="12.75">
      <c r="A21" s="55" t="s">
        <v>85</v>
      </c>
      <c r="B21" s="7">
        <v>2422.654</v>
      </c>
      <c r="C21" s="7">
        <v>7313.98354442</v>
      </c>
      <c r="D21" s="7">
        <f>B21+C21</f>
        <v>9736.63754442</v>
      </c>
      <c r="F21" s="7">
        <v>538.6692</v>
      </c>
      <c r="G21" s="7">
        <v>261.2017633974</v>
      </c>
      <c r="H21" s="7">
        <f>F21+G21</f>
        <v>799.8709633974</v>
      </c>
    </row>
    <row r="22" spans="1:8" ht="12.75">
      <c r="A22" s="55"/>
      <c r="B22" s="2"/>
      <c r="C22" s="2"/>
      <c r="D22" s="2"/>
      <c r="F22" s="2"/>
      <c r="G22" s="2"/>
      <c r="H22" s="2"/>
    </row>
    <row r="23" spans="1:8" ht="12.75">
      <c r="A23" s="55" t="s">
        <v>77</v>
      </c>
      <c r="B23" s="2">
        <f>AVERAGE(B17:B22)</f>
        <v>2779.87804</v>
      </c>
      <c r="C23" s="2">
        <f>AVERAGE(C17:C22)</f>
        <v>2385.9915126117</v>
      </c>
      <c r="D23" s="2">
        <f>AVERAGE(D17:D22)</f>
        <v>5165.869552611699</v>
      </c>
      <c r="F23" s="2">
        <f>AVERAGE(F17:F22)</f>
        <v>481.03776</v>
      </c>
      <c r="G23" s="2">
        <f>AVERAGE(G17:G22)</f>
        <v>263.62011785172</v>
      </c>
      <c r="H23" s="2">
        <f>AVERAGE(H17:H22)</f>
        <v>744.65787785172</v>
      </c>
    </row>
    <row r="24" spans="1:8" ht="12.75">
      <c r="A24" s="55"/>
      <c r="B24" s="2"/>
      <c r="C24" s="2"/>
      <c r="D24" s="2"/>
      <c r="F24" s="2"/>
      <c r="G24" s="2"/>
      <c r="H24" s="2"/>
    </row>
    <row r="25" spans="1:8" ht="12.75">
      <c r="A25" s="55" t="s">
        <v>87</v>
      </c>
      <c r="B25" s="7">
        <v>834.6826000000001</v>
      </c>
      <c r="C25" s="7">
        <v>9341.494540259</v>
      </c>
      <c r="D25" s="7">
        <f>B25+C25</f>
        <v>10176.177140259</v>
      </c>
      <c r="F25" s="7">
        <v>404.477</v>
      </c>
      <c r="G25" s="7">
        <v>380.05083460259993</v>
      </c>
      <c r="H25" s="7">
        <f>F25+G25</f>
        <v>784.5278346025999</v>
      </c>
    </row>
    <row r="26" spans="1:8" ht="12.75">
      <c r="A26" s="55" t="s">
        <v>89</v>
      </c>
      <c r="B26" s="7">
        <v>995.231</v>
      </c>
      <c r="C26" s="7">
        <v>5577.46600209575</v>
      </c>
      <c r="D26" s="7">
        <f>B26+C26</f>
        <v>6572.69700209575</v>
      </c>
      <c r="F26" s="7">
        <v>219.44879999999998</v>
      </c>
      <c r="G26" s="7">
        <v>52.81836112812</v>
      </c>
      <c r="H26" s="7">
        <f>F26+G26</f>
        <v>272.26716112812</v>
      </c>
    </row>
    <row r="27" spans="1:8" ht="12.75">
      <c r="A27" s="55" t="s">
        <v>90</v>
      </c>
      <c r="B27" s="7">
        <v>926.7850249999999</v>
      </c>
      <c r="C27" s="7">
        <v>4553.0617134187505</v>
      </c>
      <c r="D27" s="7">
        <f>B27+C27</f>
        <v>5479.846738418751</v>
      </c>
      <c r="F27" s="7">
        <v>129.749025</v>
      </c>
      <c r="G27" s="7">
        <v>112.9382886702</v>
      </c>
      <c r="H27" s="7">
        <f>F27+G27</f>
        <v>242.68731367019998</v>
      </c>
    </row>
    <row r="28" spans="1:8" ht="12.75">
      <c r="A28" s="55" t="s">
        <v>93</v>
      </c>
      <c r="B28" s="7">
        <v>1270.839775</v>
      </c>
      <c r="C28" s="7">
        <v>2524.8329797005</v>
      </c>
      <c r="D28" s="7">
        <f>B28+C28</f>
        <v>3795.6727547005</v>
      </c>
      <c r="F28" s="7">
        <v>268.982625</v>
      </c>
      <c r="G28" s="7">
        <v>19.3075772694</v>
      </c>
      <c r="H28" s="7">
        <f>F28+G28</f>
        <v>288.29020226939997</v>
      </c>
    </row>
    <row r="29" spans="1:8" ht="12.75">
      <c r="A29" s="55" t="s">
        <v>94</v>
      </c>
      <c r="B29" s="7">
        <v>2490.94</v>
      </c>
      <c r="C29" s="7">
        <v>4872.96377862875</v>
      </c>
      <c r="D29" s="7">
        <f>B29+C29</f>
        <v>7363.90377862875</v>
      </c>
      <c r="F29" s="7">
        <v>278.92587566895656</v>
      </c>
      <c r="G29" s="7">
        <v>474.6333202324</v>
      </c>
      <c r="H29" s="7">
        <f>F29+G29</f>
        <v>753.5591959013566</v>
      </c>
    </row>
    <row r="30" spans="1:8" ht="12.75">
      <c r="A30" s="55"/>
      <c r="B30" s="2"/>
      <c r="C30" s="2"/>
      <c r="D30" s="2"/>
      <c r="F30" s="2"/>
      <c r="G30" s="2"/>
      <c r="H30" s="2"/>
    </row>
    <row r="31" spans="1:8" ht="12.75">
      <c r="A31" s="55" t="s">
        <v>86</v>
      </c>
      <c r="B31" s="2">
        <f>AVERAGE(B25:B30)</f>
        <v>1303.69568</v>
      </c>
      <c r="C31" s="2">
        <f>AVERAGE(C25:C30)</f>
        <v>5373.96380282055</v>
      </c>
      <c r="D31" s="2">
        <f>AVERAGE(D25:D30)</f>
        <v>6677.659482820551</v>
      </c>
      <c r="F31" s="2">
        <f>AVERAGE(F25:F30)</f>
        <v>260.31666513379133</v>
      </c>
      <c r="G31" s="2">
        <f>AVERAGE(G25:G30)</f>
        <v>207.949676380544</v>
      </c>
      <c r="H31" s="2">
        <f>AVERAGE(H25:H30)</f>
        <v>468.2663415143353</v>
      </c>
    </row>
    <row r="32" spans="1:8" ht="12.75">
      <c r="A32" s="55"/>
      <c r="B32" s="2"/>
      <c r="C32" s="2"/>
      <c r="D32" s="2"/>
      <c r="F32" s="2"/>
      <c r="G32" s="2"/>
      <c r="H32" s="2"/>
    </row>
    <row r="33" spans="1:8" ht="12.75">
      <c r="A33" s="55" t="s">
        <v>96</v>
      </c>
      <c r="B33" s="7">
        <v>4313.544</v>
      </c>
      <c r="C33" s="7">
        <v>3157.83604</v>
      </c>
      <c r="D33" s="7">
        <f>B33+C33</f>
        <v>7471.38004</v>
      </c>
      <c r="F33" s="7">
        <v>516.6035577073845</v>
      </c>
      <c r="G33" s="7">
        <v>538.8708199999999</v>
      </c>
      <c r="H33" s="7">
        <f>F33+G33</f>
        <v>1055.4743777073845</v>
      </c>
    </row>
    <row r="34" spans="1:8" ht="12.75">
      <c r="A34" s="55" t="s">
        <v>98</v>
      </c>
      <c r="B34" s="7">
        <v>3633.2119999999995</v>
      </c>
      <c r="C34" s="7">
        <v>1383.72958</v>
      </c>
      <c r="D34" s="7">
        <f>B34+C34</f>
        <v>5016.94158</v>
      </c>
      <c r="F34" s="7">
        <v>1523.1151821296671</v>
      </c>
      <c r="G34" s="7">
        <v>311.47950000000003</v>
      </c>
      <c r="H34" s="7">
        <f>F34+G34</f>
        <v>1834.594682129667</v>
      </c>
    </row>
    <row r="35" spans="1:8" ht="12.75">
      <c r="A35" s="55" t="s">
        <v>100</v>
      </c>
      <c r="B35" s="7">
        <v>1089.0120000000002</v>
      </c>
      <c r="C35" s="7">
        <v>1640.3828200000003</v>
      </c>
      <c r="D35" s="7">
        <f>B35+C35</f>
        <v>2729.3948200000004</v>
      </c>
      <c r="F35" s="7">
        <v>694.5990924484996</v>
      </c>
      <c r="G35" s="7">
        <v>257.69901999999996</v>
      </c>
      <c r="H35" s="7">
        <f>F35+G35</f>
        <v>952.2981124484995</v>
      </c>
    </row>
    <row r="36" spans="1:8" ht="12.75">
      <c r="A36" s="55" t="s">
        <v>101</v>
      </c>
      <c r="B36" s="7">
        <v>79.145</v>
      </c>
      <c r="C36" s="7">
        <v>705.12202</v>
      </c>
      <c r="D36" s="7">
        <f>B36+C36</f>
        <v>784.26702</v>
      </c>
      <c r="F36" s="7">
        <v>589.8412210042836</v>
      </c>
      <c r="G36" s="7">
        <v>145.09390000000002</v>
      </c>
      <c r="H36" s="7">
        <f>F36+G36</f>
        <v>734.9351210042837</v>
      </c>
    </row>
    <row r="37" spans="1:8" ht="12.75">
      <c r="A37" s="55" t="s">
        <v>103</v>
      </c>
      <c r="B37" s="7">
        <v>3148.2065000000002</v>
      </c>
      <c r="C37" s="7">
        <v>1904.1976600000003</v>
      </c>
      <c r="D37" s="7">
        <f>B37+C37</f>
        <v>5052.40416</v>
      </c>
      <c r="F37" s="7">
        <v>442.1358500104744</v>
      </c>
      <c r="G37" s="7">
        <v>1306.5881800000002</v>
      </c>
      <c r="H37" s="7">
        <f>F37+G37</f>
        <v>1748.7240300104745</v>
      </c>
    </row>
    <row r="38" spans="1:8" ht="12.75">
      <c r="A38" s="55"/>
      <c r="B38" s="2"/>
      <c r="C38" s="2"/>
      <c r="D38" s="2"/>
      <c r="F38" s="2"/>
      <c r="G38" s="2"/>
      <c r="H38" s="2"/>
    </row>
    <row r="39" spans="1:8" ht="12.75">
      <c r="A39" s="55" t="s">
        <v>97</v>
      </c>
      <c r="B39" s="2">
        <f>AVERAGE(B33:B38)</f>
        <v>2452.6239</v>
      </c>
      <c r="C39" s="2">
        <f>AVERAGE(C33:C38)</f>
        <v>1758.2536240000002</v>
      </c>
      <c r="D39" s="2">
        <f>AVERAGE(D33:D38)</f>
        <v>4210.877524</v>
      </c>
      <c r="F39" s="2">
        <f>AVERAGE(F33:F38)</f>
        <v>753.2589806600618</v>
      </c>
      <c r="G39" s="2">
        <f>AVERAGE(G33:G38)</f>
        <v>511.946284</v>
      </c>
      <c r="H39" s="2">
        <f>AVERAGE(H33:H38)</f>
        <v>1265.2052646600619</v>
      </c>
    </row>
    <row r="40" spans="1:8" ht="12.75">
      <c r="A40" s="55"/>
      <c r="B40" s="2"/>
      <c r="C40" s="2"/>
      <c r="D40" s="2"/>
      <c r="F40" s="2"/>
      <c r="G40" s="2"/>
      <c r="H40" s="2"/>
    </row>
    <row r="41" spans="1:8" ht="12.75">
      <c r="A41" s="55" t="s">
        <v>107</v>
      </c>
      <c r="B41" s="7">
        <v>9244.7005</v>
      </c>
      <c r="C41" s="7">
        <v>2979.8750000000005</v>
      </c>
      <c r="D41" s="7">
        <f>B41+C41</f>
        <v>12224.5755</v>
      </c>
      <c r="F41" s="7">
        <v>736.4216980422368</v>
      </c>
      <c r="G41" s="7">
        <v>240.98978000000002</v>
      </c>
      <c r="H41" s="7">
        <f>F41+G41</f>
        <v>977.4114780422368</v>
      </c>
    </row>
    <row r="42" spans="1:8" ht="12.75">
      <c r="A42" s="55" t="s">
        <v>110</v>
      </c>
      <c r="B42" s="7">
        <v>4616.832</v>
      </c>
      <c r="C42" s="7">
        <v>2896.2798</v>
      </c>
      <c r="D42" s="7">
        <f>B42+C42</f>
        <v>7513.111800000001</v>
      </c>
      <c r="F42" s="7">
        <v>189.15964849865358</v>
      </c>
      <c r="G42" s="7">
        <v>136.23218000000003</v>
      </c>
      <c r="H42" s="7">
        <f>F42+G42</f>
        <v>325.3918284986536</v>
      </c>
    </row>
    <row r="43" spans="1:8" ht="12.75">
      <c r="A43" s="55" t="s">
        <v>112</v>
      </c>
      <c r="B43" s="7">
        <v>5684.093999999999</v>
      </c>
      <c r="C43" s="7">
        <v>5364.987139999999</v>
      </c>
      <c r="D43" s="7">
        <f>B43+C43</f>
        <v>11049.081139999998</v>
      </c>
      <c r="F43" s="7">
        <v>406.71882832504554</v>
      </c>
      <c r="G43" s="7">
        <v>138.66308</v>
      </c>
      <c r="H43" s="7">
        <f>F43+G43</f>
        <v>545.3819083250455</v>
      </c>
    </row>
    <row r="44" spans="1:8" ht="12.75">
      <c r="A44" s="55" t="s">
        <v>114</v>
      </c>
      <c r="B44" s="7">
        <v>5707.031999999999</v>
      </c>
      <c r="C44" s="7">
        <v>2317.44568</v>
      </c>
      <c r="D44" s="7">
        <f>B44+C44</f>
        <v>8024.477679999999</v>
      </c>
      <c r="F44" s="7">
        <v>963.7923382448059</v>
      </c>
      <c r="G44" s="7">
        <v>543.90004</v>
      </c>
      <c r="H44" s="7">
        <f>F44+G44</f>
        <v>1507.692378244806</v>
      </c>
    </row>
    <row r="45" spans="1:8" ht="12.75">
      <c r="A45" s="55" t="s">
        <v>119</v>
      </c>
      <c r="B45" s="7">
        <v>22029.731</v>
      </c>
      <c r="C45" s="7">
        <v>1458.28256</v>
      </c>
      <c r="D45" s="7">
        <f>B45+C45</f>
        <v>23488.01356</v>
      </c>
      <c r="F45" s="7">
        <v>1992.0834378125867</v>
      </c>
      <c r="G45" s="7">
        <v>731.6303</v>
      </c>
      <c r="H45" s="7">
        <f>F45+G45</f>
        <v>2723.7137378125867</v>
      </c>
    </row>
    <row r="46" spans="1:8" ht="12.75">
      <c r="A46" s="55"/>
      <c r="B46" s="2"/>
      <c r="C46" s="2"/>
      <c r="D46" s="2"/>
      <c r="F46" s="2"/>
      <c r="G46" s="2"/>
      <c r="H46" s="2"/>
    </row>
    <row r="47" spans="1:8" ht="12.75">
      <c r="A47" s="55" t="s">
        <v>108</v>
      </c>
      <c r="B47" s="2">
        <f>AVERAGE(B41:B46)</f>
        <v>9456.4779</v>
      </c>
      <c r="C47" s="2">
        <f>AVERAGE(C41:C46)</f>
        <v>3003.3740359999997</v>
      </c>
      <c r="D47" s="2">
        <f>AVERAGE(D41:D46)</f>
        <v>12459.851936</v>
      </c>
      <c r="F47" s="2">
        <f>AVERAGE(F41:F46)</f>
        <v>857.6351901846658</v>
      </c>
      <c r="G47" s="2">
        <f>AVERAGE(G41:G46)</f>
        <v>358.28307600000005</v>
      </c>
      <c r="H47" s="2">
        <f>AVERAGE(H41:H46)</f>
        <v>1215.9182661846658</v>
      </c>
    </row>
    <row r="48" spans="1:8" ht="12.75">
      <c r="A48" s="55"/>
      <c r="B48" s="2"/>
      <c r="C48" s="2"/>
      <c r="D48" s="2"/>
      <c r="F48" s="2"/>
      <c r="G48" s="2"/>
      <c r="H48" s="2"/>
    </row>
    <row r="49" spans="1:8" ht="12.75">
      <c r="A49" s="55" t="s">
        <v>126</v>
      </c>
      <c r="B49" s="7">
        <v>9428.8552</v>
      </c>
      <c r="C49" s="7">
        <v>5954.00742</v>
      </c>
      <c r="D49" s="7">
        <f>B49+C49</f>
        <v>15382.86262</v>
      </c>
      <c r="F49" s="7">
        <v>136.58274269205762</v>
      </c>
      <c r="G49" s="7">
        <v>757.69668</v>
      </c>
      <c r="H49" s="7">
        <f>F49+G49</f>
        <v>894.2794226920577</v>
      </c>
    </row>
    <row r="50" spans="1:8" ht="12.75">
      <c r="A50" s="55" t="s">
        <v>131</v>
      </c>
      <c r="B50" s="7">
        <v>4152.477499999999</v>
      </c>
      <c r="C50" s="7">
        <v>12146.068839999998</v>
      </c>
      <c r="D50" s="7">
        <f>B50+C50</f>
        <v>16298.546339999997</v>
      </c>
      <c r="F50" s="7">
        <v>137.53297653488508</v>
      </c>
      <c r="G50" s="7">
        <v>652.079658</v>
      </c>
      <c r="H50" s="7">
        <f>F50+G50</f>
        <v>789.612634534885</v>
      </c>
    </row>
    <row r="51" spans="1:8" ht="12.75">
      <c r="A51" s="55" t="s">
        <v>136</v>
      </c>
      <c r="B51" s="7">
        <v>24263.302600000003</v>
      </c>
      <c r="C51" s="7">
        <v>8377.73846</v>
      </c>
      <c r="D51" s="7">
        <f>B51+C51</f>
        <v>32641.041060000003</v>
      </c>
      <c r="F51" s="7">
        <v>255.82783956574772</v>
      </c>
      <c r="G51" s="7">
        <v>580.5067</v>
      </c>
      <c r="H51" s="7">
        <f>F51+G51</f>
        <v>836.3345395657477</v>
      </c>
    </row>
    <row r="52" spans="1:8" ht="12.75">
      <c r="A52" s="55" t="s">
        <v>137</v>
      </c>
      <c r="B52" s="7">
        <v>11097.4318</v>
      </c>
      <c r="C52" s="7">
        <v>18194.098619999997</v>
      </c>
      <c r="D52" s="7">
        <f>B52+C52</f>
        <v>29291.530419999996</v>
      </c>
      <c r="F52" s="7">
        <v>236.16042058685903</v>
      </c>
      <c r="G52" s="7">
        <v>266.85844</v>
      </c>
      <c r="H52" s="7">
        <f>F52+G52</f>
        <v>503.018860586859</v>
      </c>
    </row>
    <row r="53" spans="1:8" ht="12.75">
      <c r="A53" s="55" t="s">
        <v>139</v>
      </c>
      <c r="B53" s="7">
        <v>8806.1662</v>
      </c>
      <c r="C53" s="7">
        <v>12347.59306</v>
      </c>
      <c r="D53" s="7">
        <f>B53+C53</f>
        <v>21153.75926</v>
      </c>
      <c r="F53" s="7">
        <v>102.63319943361721</v>
      </c>
      <c r="G53" s="7">
        <v>77.03162</v>
      </c>
      <c r="H53" s="7">
        <f>F53+G53</f>
        <v>179.6648194336172</v>
      </c>
    </row>
    <row r="54" spans="1:8" ht="12.75">
      <c r="A54" s="55"/>
      <c r="B54" s="2"/>
      <c r="C54" s="2"/>
      <c r="D54" s="2"/>
      <c r="F54" s="2"/>
      <c r="G54" s="2"/>
      <c r="H54" s="2"/>
    </row>
    <row r="55" spans="1:8" ht="12.75">
      <c r="A55" s="55" t="s">
        <v>127</v>
      </c>
      <c r="B55" s="2">
        <f>AVERAGE(B49:B54)</f>
        <v>11549.64666</v>
      </c>
      <c r="C55" s="2">
        <f>AVERAGE(C49:C54)</f>
        <v>11403.90128</v>
      </c>
      <c r="D55" s="2">
        <f>AVERAGE(D49:D54)</f>
        <v>22953.54794</v>
      </c>
      <c r="F55" s="2">
        <f>AVERAGE(F49:F54)</f>
        <v>173.7474357626333</v>
      </c>
      <c r="G55" s="2">
        <f>AVERAGE(G49:G54)</f>
        <v>466.83461960000005</v>
      </c>
      <c r="H55" s="2">
        <f>AVERAGE(H49:H54)</f>
        <v>640.5820553626334</v>
      </c>
    </row>
    <row r="56" spans="1:8" ht="12.75">
      <c r="A56" s="55"/>
      <c r="B56" s="2"/>
      <c r="C56" s="2"/>
      <c r="D56" s="2"/>
      <c r="F56" s="2"/>
      <c r="G56" s="2"/>
      <c r="H56" s="2"/>
    </row>
    <row r="57" spans="1:8" ht="12.75">
      <c r="A57" s="55" t="s">
        <v>141</v>
      </c>
      <c r="B57" s="7">
        <v>8071.535000000001</v>
      </c>
      <c r="C57" s="7">
        <v>6590.9849</v>
      </c>
      <c r="D57" s="7">
        <f>B57+C57</f>
        <v>14662.519900000001</v>
      </c>
      <c r="F57" s="7">
        <v>76.19679298926587</v>
      </c>
      <c r="G57" s="7">
        <v>38.36094000000001</v>
      </c>
      <c r="H57" s="7">
        <f>F57+G57</f>
        <v>114.55773298926587</v>
      </c>
    </row>
    <row r="58" spans="1:8" ht="12.75">
      <c r="A58" s="55" t="s">
        <v>145</v>
      </c>
      <c r="B58" s="7">
        <v>16056.314000000002</v>
      </c>
      <c r="C58" s="7">
        <v>1396.0986</v>
      </c>
      <c r="D58" s="7">
        <f>B58+C58</f>
        <v>17452.412600000003</v>
      </c>
      <c r="F58" s="7">
        <v>337.31778164665093</v>
      </c>
      <c r="G58" s="7">
        <v>154.52042</v>
      </c>
      <c r="H58" s="7">
        <f>F58+G58</f>
        <v>491.83820164665093</v>
      </c>
    </row>
    <row r="59" spans="1:8" ht="12.75">
      <c r="A59" s="55" t="s">
        <v>147</v>
      </c>
      <c r="B59" s="7">
        <v>6405.349399999999</v>
      </c>
      <c r="C59" s="7">
        <v>10124.387639999999</v>
      </c>
      <c r="D59" s="7">
        <f>B59+C59</f>
        <v>16529.73704</v>
      </c>
      <c r="F59" s="7">
        <v>185.2058399059643</v>
      </c>
      <c r="G59" s="7">
        <v>52.10798</v>
      </c>
      <c r="H59" s="7">
        <f>F59+G59</f>
        <v>237.3138199059643</v>
      </c>
    </row>
    <row r="60" spans="1:8" ht="12.75">
      <c r="A60" s="55" t="s">
        <v>149</v>
      </c>
      <c r="B60" s="7">
        <v>18653.3626</v>
      </c>
      <c r="C60" s="7">
        <v>10673.4936</v>
      </c>
      <c r="D60" s="7">
        <f>B60+C60</f>
        <v>29326.856200000002</v>
      </c>
      <c r="F60" s="7">
        <v>178.4982718875066</v>
      </c>
      <c r="G60" s="7">
        <v>9.365639999999999</v>
      </c>
      <c r="H60" s="7">
        <f>F60+G60</f>
        <v>187.86391188750662</v>
      </c>
    </row>
    <row r="61" spans="1:8" ht="12.75">
      <c r="A61" s="55" t="s">
        <v>151</v>
      </c>
      <c r="B61" s="7">
        <v>7461.689686025</v>
      </c>
      <c r="C61" s="7">
        <v>2287.9720399999997</v>
      </c>
      <c r="D61" s="7">
        <f>B61+C61</f>
        <v>9749.661726024999</v>
      </c>
      <c r="F61" s="7">
        <v>131.63665396365576</v>
      </c>
      <c r="G61" s="7">
        <v>394.86026</v>
      </c>
      <c r="H61" s="7">
        <f>F61+G61</f>
        <v>526.4969139636557</v>
      </c>
    </row>
    <row r="62" spans="2:7" ht="12.75">
      <c r="B62" s="2"/>
      <c r="C62" s="2"/>
      <c r="D62" s="7"/>
      <c r="G62" s="2"/>
    </row>
    <row r="63" spans="1:8" ht="12.75">
      <c r="A63" s="56" t="s">
        <v>140</v>
      </c>
      <c r="B63" s="2">
        <f>AVERAGE(B57:B62)</f>
        <v>11329.650137205</v>
      </c>
      <c r="C63" s="2">
        <f>AVERAGE(C57:C62)</f>
        <v>6214.587356000001</v>
      </c>
      <c r="D63" s="2">
        <f>AVERAGE(D57:D62)</f>
        <v>17544.237493205</v>
      </c>
      <c r="F63" s="2">
        <f>AVERAGE(F57:F62)</f>
        <v>181.7710680786087</v>
      </c>
      <c r="G63" s="2">
        <f>AVERAGE(G57:G62)</f>
        <v>129.843048</v>
      </c>
      <c r="H63" s="2">
        <f>AVERAGE(H57:H62)</f>
        <v>311.6141160786087</v>
      </c>
    </row>
    <row r="64" spans="1:7" ht="12.75">
      <c r="A64" s="53"/>
      <c r="B64" s="2"/>
      <c r="C64" s="2"/>
      <c r="D64" s="7"/>
      <c r="G64" s="2"/>
    </row>
    <row r="65" spans="2:7" ht="12.75">
      <c r="B65" s="2"/>
      <c r="C65" s="2"/>
      <c r="D65" s="7"/>
      <c r="G65" s="2"/>
    </row>
    <row r="66" spans="2:7" ht="12.75">
      <c r="B66" s="2"/>
      <c r="C66" s="2"/>
      <c r="D66" s="7"/>
      <c r="G66" s="2"/>
    </row>
    <row r="67" spans="2:7" ht="12.75">
      <c r="B67" s="2"/>
      <c r="C67" s="2"/>
      <c r="D67" s="7"/>
      <c r="G67" s="2"/>
    </row>
    <row r="68" spans="2:7" ht="12.75">
      <c r="B68" s="2"/>
      <c r="C68" s="2"/>
      <c r="D68" s="7"/>
      <c r="G68" s="2"/>
    </row>
    <row r="69" spans="2:7" ht="12.75">
      <c r="B69" s="2"/>
      <c r="C69" s="2"/>
      <c r="D69" s="7"/>
      <c r="G69" s="2"/>
    </row>
    <row r="70" spans="2:7" ht="12.75">
      <c r="B70" s="2"/>
      <c r="C70" s="2"/>
      <c r="D70" s="7"/>
      <c r="G70" s="2"/>
    </row>
    <row r="71" spans="2:7" ht="12.75">
      <c r="B71" s="2"/>
      <c r="C71" s="2"/>
      <c r="D71" s="7"/>
      <c r="G71" s="2"/>
    </row>
    <row r="72" spans="2:4" ht="12.75">
      <c r="B72" s="2"/>
      <c r="C72" s="2"/>
      <c r="D72" s="7"/>
    </row>
    <row r="73" spans="2:4" ht="12.75">
      <c r="B73" s="2"/>
      <c r="C73" s="2"/>
      <c r="D73" s="7"/>
    </row>
    <row r="74" spans="2:4" ht="12.75">
      <c r="B74" s="2"/>
      <c r="C74" s="2"/>
      <c r="D74" s="7"/>
    </row>
    <row r="75" spans="2:4" ht="12.75">
      <c r="B75" s="2"/>
      <c r="C75" s="2"/>
      <c r="D75" s="7"/>
    </row>
    <row r="76" spans="2:4" ht="12.75">
      <c r="B76" s="2"/>
      <c r="C76" s="2"/>
      <c r="D76" s="7"/>
    </row>
    <row r="77" spans="2:4" ht="12.75">
      <c r="B77" s="2"/>
      <c r="C77" s="2"/>
      <c r="D77" s="7"/>
    </row>
    <row r="78" spans="2:4" ht="12.75">
      <c r="B78" s="2"/>
      <c r="C78" s="2"/>
      <c r="D78" s="7"/>
    </row>
    <row r="79" spans="2:4" ht="12.75">
      <c r="B79" s="2"/>
      <c r="C79" s="2"/>
      <c r="D79" s="7"/>
    </row>
    <row r="80" spans="2:4" ht="12.75">
      <c r="B80" s="2"/>
      <c r="C80" s="2"/>
      <c r="D80" s="7"/>
    </row>
    <row r="81" spans="2:4" ht="12.75">
      <c r="B81" s="2"/>
      <c r="C81" s="2"/>
      <c r="D81" s="7"/>
    </row>
    <row r="82" spans="2:4" ht="12.75">
      <c r="B82" s="2"/>
      <c r="C82" s="2"/>
      <c r="D82" s="7"/>
    </row>
    <row r="83" spans="2:4" ht="12.75">
      <c r="B83" s="2"/>
      <c r="C83" s="2"/>
      <c r="D83" s="7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8"/>
  </sheetPr>
  <dimension ref="A1:K194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cols>
    <col min="1" max="1" width="8.421875" style="17" customWidth="1"/>
    <col min="2" max="2" width="10.57421875" style="17" customWidth="1"/>
    <col min="3" max="3" width="11.140625" style="0" customWidth="1"/>
    <col min="4" max="4" width="6.28125" style="12" customWidth="1"/>
    <col min="5" max="5" width="11.7109375" style="10" customWidth="1"/>
    <col min="6" max="6" width="9.421875" style="9" customWidth="1"/>
    <col min="7" max="7" width="12.8515625" style="0" customWidth="1"/>
    <col min="8" max="8" width="9.8515625" style="9" customWidth="1"/>
    <col min="9" max="9" width="11.421875" style="10" customWidth="1"/>
    <col min="10" max="10" width="9.8515625" style="9" customWidth="1"/>
    <col min="11" max="11" width="18.140625" style="10" customWidth="1"/>
  </cols>
  <sheetData>
    <row r="1" ht="12.75">
      <c r="C1" s="1" t="s">
        <v>242</v>
      </c>
    </row>
    <row r="3" spans="1:11" ht="12.75">
      <c r="A3" s="17" t="s">
        <v>317</v>
      </c>
      <c r="B3" s="17" t="s">
        <v>247</v>
      </c>
      <c r="C3" s="1" t="s">
        <v>281</v>
      </c>
      <c r="D3" s="13" t="s">
        <v>264</v>
      </c>
      <c r="E3" s="11" t="s">
        <v>183</v>
      </c>
      <c r="F3" s="16" t="s">
        <v>1</v>
      </c>
      <c r="G3" s="1" t="s">
        <v>7</v>
      </c>
      <c r="H3" s="16" t="s">
        <v>1</v>
      </c>
      <c r="I3" s="11" t="s">
        <v>207</v>
      </c>
      <c r="J3" s="16" t="s">
        <v>0</v>
      </c>
      <c r="K3" s="11" t="s">
        <v>309</v>
      </c>
    </row>
    <row r="4" spans="1:11" ht="12.75">
      <c r="A4" s="17"/>
      <c r="B4" s="17"/>
      <c r="C4" s="1" t="s">
        <v>203</v>
      </c>
      <c r="D4" s="13" t="s">
        <v>209</v>
      </c>
      <c r="E4" s="11" t="s">
        <v>203</v>
      </c>
      <c r="F4" s="16" t="s">
        <v>174</v>
      </c>
      <c r="G4" s="1" t="s">
        <v>255</v>
      </c>
      <c r="H4" s="16" t="s">
        <v>174</v>
      </c>
      <c r="I4" s="11" t="s">
        <v>286</v>
      </c>
      <c r="J4" s="16" t="s">
        <v>174</v>
      </c>
      <c r="K4" s="11" t="s">
        <v>6</v>
      </c>
    </row>
    <row r="5" spans="1:11" ht="12.75">
      <c r="A5" s="18"/>
      <c r="B5" s="18"/>
      <c r="C5" s="20"/>
      <c r="D5" s="21"/>
      <c r="E5" s="14"/>
      <c r="F5" s="9"/>
      <c r="H5" s="9"/>
      <c r="I5" s="10"/>
      <c r="J5" s="9"/>
      <c r="K5" s="10"/>
    </row>
    <row r="6" spans="1:11" ht="12.75">
      <c r="A6" s="17">
        <v>1544</v>
      </c>
      <c r="B6" s="17" t="s">
        <v>234</v>
      </c>
      <c r="C6">
        <v>26</v>
      </c>
      <c r="D6" s="12">
        <v>8</v>
      </c>
      <c r="E6" s="10">
        <f>(C6+(D6/12))/20</f>
        <v>1.3333333333333335</v>
      </c>
      <c r="F6" s="9"/>
      <c r="G6">
        <v>8.4793</v>
      </c>
      <c r="H6" s="9"/>
      <c r="I6" s="10">
        <v>0.4914</v>
      </c>
      <c r="J6" s="9"/>
      <c r="K6" s="10">
        <f>1/E6</f>
        <v>0.7499999999999999</v>
      </c>
    </row>
    <row r="7" spans="1:11" ht="12.75">
      <c r="A7" s="17"/>
      <c r="B7" s="17" t="s">
        <v>193</v>
      </c>
      <c r="C7">
        <v>27</v>
      </c>
      <c r="D7" s="12">
        <v>2</v>
      </c>
      <c r="E7" s="10">
        <f>(C7+(D7/12))/20</f>
        <v>1.3583333333333334</v>
      </c>
      <c r="F7" s="9">
        <f>(E7-E6)/E6</f>
        <v>0.01874999999999993</v>
      </c>
      <c r="G7">
        <v>8.4793</v>
      </c>
      <c r="H7" s="9">
        <f>(G7-G6)/G6</f>
        <v>0</v>
      </c>
      <c r="I7" s="10">
        <v>0.4914</v>
      </c>
      <c r="J7" s="9">
        <f>(I7-I6)/I6</f>
        <v>0</v>
      </c>
      <c r="K7" s="10">
        <f>1/E7</f>
        <v>0.7361963190184049</v>
      </c>
    </row>
    <row r="8" spans="1:11" ht="12.75">
      <c r="A8" s="17"/>
      <c r="B8" s="17" t="s">
        <v>244</v>
      </c>
      <c r="C8">
        <v>26</v>
      </c>
      <c r="D8" s="12">
        <v>11</v>
      </c>
      <c r="E8" s="10">
        <f>(C8+(D8/12))/20</f>
        <v>1.3458333333333334</v>
      </c>
      <c r="F8" s="9">
        <f>(E8-E7)/E7</f>
        <v>-0.009202453987730029</v>
      </c>
      <c r="G8">
        <v>8.4793</v>
      </c>
      <c r="H8" s="9">
        <f>(G8-G7)/G7</f>
        <v>0</v>
      </c>
      <c r="I8" s="10">
        <v>0.4914</v>
      </c>
      <c r="J8" s="9">
        <f>(I8-I7)/I7</f>
        <v>0</v>
      </c>
      <c r="K8" s="10">
        <f>1/E8</f>
        <v>0.7430340557275541</v>
      </c>
    </row>
    <row r="9" spans="1:11" ht="12.75">
      <c r="A9" s="17"/>
      <c r="B9" s="17" t="s">
        <v>170</v>
      </c>
      <c r="C9">
        <v>26</v>
      </c>
      <c r="D9" s="12">
        <v>8</v>
      </c>
      <c r="E9" s="10">
        <f>(C9+(D9/12))/20</f>
        <v>1.3333333333333335</v>
      </c>
      <c r="F9" s="9">
        <f>(E9-E8)/E8</f>
        <v>-0.009287925696594394</v>
      </c>
      <c r="G9">
        <v>8.4793</v>
      </c>
      <c r="H9" s="9">
        <f>(G9-G8)/G8</f>
        <v>0</v>
      </c>
      <c r="I9" s="10">
        <v>0.4914</v>
      </c>
      <c r="J9" s="9">
        <f>(I9-I8)/I8</f>
        <v>0</v>
      </c>
      <c r="K9" s="10">
        <f>1/E9</f>
        <v>0.7499999999999999</v>
      </c>
    </row>
    <row r="10" spans="1:11" ht="12.75">
      <c r="A10" s="17"/>
      <c r="B10" s="17" t="s">
        <v>245</v>
      </c>
      <c r="C10">
        <v>26</v>
      </c>
      <c r="D10" s="12">
        <v>7.5</v>
      </c>
      <c r="E10" s="10">
        <f>(C10+(D10/12))/20</f>
        <v>1.33125</v>
      </c>
      <c r="F10" s="9">
        <f>(E10-E9)/E9</f>
        <v>-0.0015625000000000775</v>
      </c>
      <c r="G10">
        <v>8.4793</v>
      </c>
      <c r="H10" s="9">
        <f>(G10-G9)/G9</f>
        <v>0</v>
      </c>
      <c r="I10" s="10">
        <v>0.4914</v>
      </c>
      <c r="J10" s="9">
        <f>(I10-I9)/I9</f>
        <v>0</v>
      </c>
      <c r="K10" s="10">
        <f>1/E10</f>
        <v>0.7511737089201878</v>
      </c>
    </row>
    <row r="11" spans="1:11" ht="12.75">
      <c r="A11" s="17"/>
      <c r="B11" s="17" t="s">
        <v>236</v>
      </c>
      <c r="C11">
        <v>25</v>
      </c>
      <c r="D11" s="12">
        <v>9.5</v>
      </c>
      <c r="E11" s="10">
        <f>(C11+(D11/12))/20</f>
        <v>1.2895833333333333</v>
      </c>
      <c r="F11" s="9">
        <f>(E11-E10)/E10</f>
        <v>-0.031298904538341214</v>
      </c>
      <c r="G11">
        <v>8.5735</v>
      </c>
      <c r="H11" s="9">
        <f>(G11-G10)/G10</f>
        <v>0.01110940761619461</v>
      </c>
      <c r="I11" s="10">
        <v>0.486</v>
      </c>
      <c r="J11" s="9">
        <f>(I11-I10)/I10</f>
        <v>-0.010989010989011021</v>
      </c>
      <c r="K11" s="10">
        <f>1/E11</f>
        <v>0.7754442649434572</v>
      </c>
    </row>
    <row r="12" spans="1:11" ht="12.75">
      <c r="A12" s="17"/>
      <c r="B12" s="17" t="s">
        <v>235</v>
      </c>
      <c r="C12">
        <v>25</v>
      </c>
      <c r="D12" s="12">
        <v>8</v>
      </c>
      <c r="E12" s="10">
        <f>(C12+(D12/12))/20</f>
        <v>1.2833333333333334</v>
      </c>
      <c r="F12" s="9">
        <f>(E12-E11)/E11</f>
        <v>-0.004846526655896504</v>
      </c>
      <c r="G12">
        <v>8.5735</v>
      </c>
      <c r="H12" s="9">
        <f>(G12-G11)/G11</f>
        <v>0</v>
      </c>
      <c r="I12" s="10">
        <v>0.486</v>
      </c>
      <c r="J12" s="9">
        <f>(I12-I11)/I11</f>
        <v>0</v>
      </c>
      <c r="K12" s="10">
        <f>1/E12</f>
        <v>0.7792207792207791</v>
      </c>
    </row>
    <row r="13" spans="1:11" ht="12.75">
      <c r="A13" s="17"/>
      <c r="B13" s="17" t="s">
        <v>172</v>
      </c>
      <c r="C13">
        <v>26</v>
      </c>
      <c r="D13" s="12">
        <v>5.5</v>
      </c>
      <c r="E13" s="10">
        <f>(C13+(D13/12))/20</f>
        <v>1.3229166666666665</v>
      </c>
      <c r="F13" s="9">
        <f>(E13-E12)/E12</f>
        <v>0.030844155844155646</v>
      </c>
      <c r="G13">
        <v>8.5735</v>
      </c>
      <c r="H13" s="9">
        <f>(G13-G12)/G12</f>
        <v>0</v>
      </c>
      <c r="I13" s="10">
        <v>0.486</v>
      </c>
      <c r="J13" s="9">
        <f>(I13-I12)/I12</f>
        <v>0</v>
      </c>
      <c r="K13" s="10">
        <f>1/E13</f>
        <v>0.7559055118110237</v>
      </c>
    </row>
    <row r="14" spans="1:11" ht="12.75">
      <c r="A14" s="17"/>
      <c r="B14" s="17" t="s">
        <v>280</v>
      </c>
      <c r="C14">
        <v>26</v>
      </c>
      <c r="D14" s="12">
        <v>6.5</v>
      </c>
      <c r="E14" s="10">
        <f>(C14+(D14/12))/20</f>
        <v>1.3270833333333334</v>
      </c>
      <c r="F14" s="9">
        <f>(E14-E13)/E13</f>
        <v>0.0031496062992127554</v>
      </c>
      <c r="G14">
        <v>8.5735</v>
      </c>
      <c r="H14" s="9">
        <f>(G14-G13)/G13</f>
        <v>0</v>
      </c>
      <c r="I14" s="10">
        <v>0.486</v>
      </c>
      <c r="J14" s="9">
        <f>(I14-I13)/I13</f>
        <v>0</v>
      </c>
      <c r="K14" s="10">
        <f>1/E14</f>
        <v>0.7535321821036106</v>
      </c>
    </row>
    <row r="15" spans="1:11" ht="12.75">
      <c r="A15" s="17"/>
      <c r="B15" s="17" t="s">
        <v>254</v>
      </c>
      <c r="C15">
        <v>26</v>
      </c>
      <c r="D15" s="12">
        <v>9.5</v>
      </c>
      <c r="E15" s="10">
        <f>(C15+(D15/12))/20</f>
        <v>1.3395833333333333</v>
      </c>
      <c r="F15" s="9">
        <f>(E15-E14)/E14</f>
        <v>0.0094191522762951</v>
      </c>
      <c r="G15">
        <v>8.5735</v>
      </c>
      <c r="H15" s="9">
        <f>(G15-G14)/G14</f>
        <v>0</v>
      </c>
      <c r="I15" s="10">
        <v>0.486</v>
      </c>
      <c r="J15" s="9">
        <f>(I15-I14)/I14</f>
        <v>0</v>
      </c>
      <c r="K15" s="10">
        <f>1/E15</f>
        <v>0.7465007776049767</v>
      </c>
    </row>
    <row r="16" spans="1:11" ht="12.75">
      <c r="A16" s="17"/>
      <c r="B16" s="17" t="s">
        <v>253</v>
      </c>
      <c r="C16">
        <v>26</v>
      </c>
      <c r="D16" s="12">
        <v>9.5</v>
      </c>
      <c r="E16" s="10">
        <f>(C16+(D16/12))/20</f>
        <v>1.3395833333333333</v>
      </c>
      <c r="F16" s="9">
        <f>(E16-E15)/E15</f>
        <v>0</v>
      </c>
      <c r="G16">
        <v>8.5735</v>
      </c>
      <c r="H16" s="9">
        <f>(G16-G15)/G15</f>
        <v>0</v>
      </c>
      <c r="I16" s="10">
        <v>0.486</v>
      </c>
      <c r="J16" s="9">
        <f>(I16-I15)/I15</f>
        <v>0</v>
      </c>
      <c r="K16" s="10">
        <f>1/E16</f>
        <v>0.7465007776049767</v>
      </c>
    </row>
    <row r="17" spans="1:11" ht="12.75">
      <c r="A17" s="17"/>
      <c r="B17" s="17" t="s">
        <v>184</v>
      </c>
      <c r="C17">
        <v>25</v>
      </c>
      <c r="D17" s="12">
        <v>3.5</v>
      </c>
      <c r="E17" s="10">
        <f>(C17+(D17/12))/20</f>
        <v>1.2645833333333334</v>
      </c>
      <c r="F17" s="9">
        <f>(E17-E16)/E16</f>
        <v>-0.055987558320373214</v>
      </c>
      <c r="G17">
        <v>8.5735</v>
      </c>
      <c r="H17" s="9">
        <f>(G17-G16)/G16</f>
        <v>0</v>
      </c>
      <c r="I17" s="10">
        <v>0.486</v>
      </c>
      <c r="J17" s="9">
        <f>(I17-I16)/I16</f>
        <v>0</v>
      </c>
      <c r="K17" s="10">
        <f>1/E17</f>
        <v>0.7907742998352553</v>
      </c>
    </row>
    <row r="18" spans="1:11" ht="12.75">
      <c r="A18" s="17">
        <v>1545</v>
      </c>
      <c r="B18" s="17" t="s">
        <v>254</v>
      </c>
      <c r="C18">
        <v>25</v>
      </c>
      <c r="D18" s="12">
        <v>4.5</v>
      </c>
      <c r="E18" s="10">
        <f>(C18+(D18/12))/20</f>
        <v>1.26875</v>
      </c>
      <c r="F18" s="9">
        <f>(E18-E17)/E17</f>
        <v>0.003294892915980219</v>
      </c>
      <c r="G18">
        <v>12.8603</v>
      </c>
      <c r="H18" s="9">
        <f>(G18-G17)/G17</f>
        <v>0.5000058319239519</v>
      </c>
      <c r="I18" s="10">
        <v>0.324</v>
      </c>
      <c r="J18" s="9">
        <f>(I18-I17)/I17</f>
        <v>-0.3333333333333333</v>
      </c>
      <c r="K18" s="10">
        <f>1/E18</f>
        <v>0.7881773399014778</v>
      </c>
    </row>
    <row r="19" spans="1:11" ht="12.75">
      <c r="A19" s="17">
        <v>1546</v>
      </c>
      <c r="B19" s="17" t="s">
        <v>170</v>
      </c>
      <c r="C19">
        <v>26</v>
      </c>
      <c r="D19" s="12">
        <v>3</v>
      </c>
      <c r="E19" s="10">
        <f>(C19+(D19/12))/20</f>
        <v>1.3125</v>
      </c>
      <c r="F19" s="9">
        <f>(E19-E18)/E18</f>
        <v>0.03448275862068962</v>
      </c>
      <c r="G19">
        <v>19.2904</v>
      </c>
      <c r="H19" s="9">
        <f>(G19-G18)/G18</f>
        <v>0.499996112065815</v>
      </c>
      <c r="I19" s="10">
        <v>0.216</v>
      </c>
      <c r="J19" s="9">
        <f>(I19-I18)/I18</f>
        <v>-0.33333333333333337</v>
      </c>
      <c r="K19" s="10">
        <f>1/E19</f>
        <v>0.7619047619047619</v>
      </c>
    </row>
    <row r="20" spans="1:11" ht="12.75">
      <c r="A20" s="17"/>
      <c r="B20" s="17" t="s">
        <v>245</v>
      </c>
      <c r="C20">
        <v>25</v>
      </c>
      <c r="D20" s="12">
        <v>5</v>
      </c>
      <c r="E20" s="10">
        <f>(C20+(D20/12))/20</f>
        <v>1.2708333333333335</v>
      </c>
      <c r="F20" s="9">
        <f>(E20-E19)/E19</f>
        <v>-0.03174603174603163</v>
      </c>
      <c r="G20">
        <v>19.2904</v>
      </c>
      <c r="H20" s="9">
        <f>(G20-G19)/G19</f>
        <v>0</v>
      </c>
      <c r="I20" s="10">
        <v>0.216</v>
      </c>
      <c r="J20" s="9">
        <f>(I20-I19)/I19</f>
        <v>0</v>
      </c>
      <c r="K20" s="10">
        <f>1/E20</f>
        <v>0.7868852459016392</v>
      </c>
    </row>
    <row r="21" spans="1:11" ht="12.75">
      <c r="A21" s="17"/>
      <c r="B21" s="17" t="s">
        <v>235</v>
      </c>
      <c r="C21">
        <v>24</v>
      </c>
      <c r="D21" s="12">
        <v>6</v>
      </c>
      <c r="E21" s="10">
        <f>(C21+(D21/12))/20</f>
        <v>1.225</v>
      </c>
      <c r="F21" s="9">
        <f>(E21-E20)/E20</f>
        <v>-0.03606557377049185</v>
      </c>
      <c r="G21">
        <v>19.2904</v>
      </c>
      <c r="H21" s="9">
        <f>(G21-G20)/G20</f>
        <v>0</v>
      </c>
      <c r="I21" s="10">
        <v>0.216</v>
      </c>
      <c r="J21" s="9">
        <f>(I21-I20)/I20</f>
        <v>0</v>
      </c>
      <c r="K21" s="10">
        <f>1/E21</f>
        <v>0.8163265306122448</v>
      </c>
    </row>
    <row r="22" spans="1:11" ht="12.75">
      <c r="A22" s="17"/>
      <c r="B22" s="17" t="s">
        <v>280</v>
      </c>
      <c r="C22">
        <v>25</v>
      </c>
      <c r="D22" s="12">
        <v>0</v>
      </c>
      <c r="E22" s="10">
        <f>(C22+(D22/12))/20</f>
        <v>1.25</v>
      </c>
      <c r="F22" s="9">
        <f>(E22-E21)/E21</f>
        <v>0.020408163265306048</v>
      </c>
      <c r="G22">
        <v>19.2904</v>
      </c>
      <c r="H22" s="9">
        <f>(G22-G21)/G21</f>
        <v>0</v>
      </c>
      <c r="I22" s="10">
        <v>0.216</v>
      </c>
      <c r="J22" s="9">
        <f>(I22-I21)/I21</f>
        <v>0</v>
      </c>
      <c r="K22" s="10">
        <f>1/E22</f>
        <v>0.8</v>
      </c>
    </row>
    <row r="23" spans="1:11" ht="12.75">
      <c r="A23" s="17">
        <v>1547</v>
      </c>
      <c r="B23" s="17" t="s">
        <v>234</v>
      </c>
      <c r="C23">
        <v>23</v>
      </c>
      <c r="D23" s="12">
        <v>3.5</v>
      </c>
      <c r="E23" s="10">
        <f>(C23+(D23/12))/20</f>
        <v>1.1645833333333333</v>
      </c>
      <c r="F23" s="9">
        <f>(E23-E22)/E22</f>
        <v>-0.06833333333333336</v>
      </c>
      <c r="G23">
        <v>19.2904</v>
      </c>
      <c r="H23" s="9">
        <f>(G23-G22)/G22</f>
        <v>0</v>
      </c>
      <c r="I23" s="10">
        <v>0.216</v>
      </c>
      <c r="J23" s="9">
        <f>(I23-I22)/I22</f>
        <v>0</v>
      </c>
      <c r="K23" s="10">
        <f>1/E23</f>
        <v>0.8586762075134169</v>
      </c>
    </row>
    <row r="24" spans="1:11" ht="12.75">
      <c r="A24" s="17"/>
      <c r="B24" s="17" t="s">
        <v>193</v>
      </c>
      <c r="C24">
        <v>23</v>
      </c>
      <c r="D24" s="12">
        <v>4.5</v>
      </c>
      <c r="E24" s="10">
        <f>(C24+(D24/12))/20</f>
        <v>1.16875</v>
      </c>
      <c r="F24" s="9">
        <f>(E24-E23)/E23</f>
        <v>0.003577817531305891</v>
      </c>
      <c r="G24">
        <v>19.2904</v>
      </c>
      <c r="H24" s="9">
        <f>(G24-G23)/G23</f>
        <v>0</v>
      </c>
      <c r="I24" s="10">
        <v>0.216</v>
      </c>
      <c r="J24" s="9">
        <f>(I24-I23)/I23</f>
        <v>0</v>
      </c>
      <c r="K24" s="10">
        <f>1/E24</f>
        <v>0.8556149732620321</v>
      </c>
    </row>
    <row r="25" spans="1:11" ht="12.75">
      <c r="A25" s="17"/>
      <c r="B25" s="17" t="s">
        <v>244</v>
      </c>
      <c r="C25">
        <v>22</v>
      </c>
      <c r="D25" s="12">
        <v>0.5</v>
      </c>
      <c r="E25" s="10">
        <f>(C25+(D25/12))/20</f>
        <v>1.1020833333333333</v>
      </c>
      <c r="F25" s="9">
        <f>(E25-E24)/E24</f>
        <v>-0.057040998217468795</v>
      </c>
      <c r="G25">
        <v>19.2904</v>
      </c>
      <c r="H25" s="9">
        <f>(G25-G24)/G24</f>
        <v>0</v>
      </c>
      <c r="I25" s="10">
        <v>0.216</v>
      </c>
      <c r="J25" s="9">
        <f>(I25-I24)/I24</f>
        <v>0</v>
      </c>
      <c r="K25" s="10">
        <f>1/E25</f>
        <v>0.9073724007561437</v>
      </c>
    </row>
    <row r="26" spans="1:11" ht="12.75">
      <c r="A26" s="17"/>
      <c r="B26" s="17" t="s">
        <v>170</v>
      </c>
      <c r="C26">
        <v>22</v>
      </c>
      <c r="D26" s="12">
        <v>0</v>
      </c>
      <c r="E26" s="10">
        <f>(C26+(D26/12))/20</f>
        <v>1.1</v>
      </c>
      <c r="F26" s="9">
        <f>(E26-E25)/E25</f>
        <v>-0.0018903591682418585</v>
      </c>
      <c r="G26">
        <v>19.2904</v>
      </c>
      <c r="H26" s="9">
        <f>(G26-G25)/G25</f>
        <v>0</v>
      </c>
      <c r="I26" s="10">
        <v>0.216</v>
      </c>
      <c r="J26" s="9">
        <f>(I26-I25)/I25</f>
        <v>0</v>
      </c>
      <c r="K26" s="10">
        <f>1/E26</f>
        <v>0.9090909090909091</v>
      </c>
    </row>
    <row r="27" spans="1:11" ht="12.75">
      <c r="A27" s="17"/>
      <c r="B27" s="17" t="s">
        <v>245</v>
      </c>
      <c r="C27">
        <v>22</v>
      </c>
      <c r="D27" s="12">
        <v>2.5</v>
      </c>
      <c r="E27" s="10">
        <f>(C27+(D27/12))/20</f>
        <v>1.1104166666666666</v>
      </c>
      <c r="F27" s="9">
        <f>(E27-E26)/E26</f>
        <v>0.009469696969696835</v>
      </c>
      <c r="G27">
        <v>19.2904</v>
      </c>
      <c r="H27" s="9">
        <f>(G27-G26)/G26</f>
        <v>0</v>
      </c>
      <c r="I27" s="10">
        <v>0.216</v>
      </c>
      <c r="J27" s="9">
        <f>(I27-I26)/I26</f>
        <v>0</v>
      </c>
      <c r="K27" s="10">
        <f>1/E27</f>
        <v>0.9005628517823641</v>
      </c>
    </row>
    <row r="28" spans="1:11" ht="12.75">
      <c r="A28" s="17"/>
      <c r="B28" s="17" t="s">
        <v>236</v>
      </c>
      <c r="C28">
        <v>22</v>
      </c>
      <c r="D28" s="12">
        <v>1</v>
      </c>
      <c r="E28" s="10">
        <f>(C28+(D28/12))/20</f>
        <v>1.1041666666666665</v>
      </c>
      <c r="F28" s="9">
        <f>(E28-E27)/E27</f>
        <v>-0.0056285178236398555</v>
      </c>
      <c r="G28">
        <v>19.2904</v>
      </c>
      <c r="H28" s="9">
        <f>(G28-G27)/G27</f>
        <v>0</v>
      </c>
      <c r="I28" s="10">
        <v>0.216</v>
      </c>
      <c r="J28" s="9">
        <f>(I28-I27)/I27</f>
        <v>0</v>
      </c>
      <c r="K28" s="10">
        <f>1/E28</f>
        <v>0.9056603773584907</v>
      </c>
    </row>
    <row r="29" spans="1:11" ht="12.75">
      <c r="A29" s="17"/>
      <c r="B29" s="17" t="s">
        <v>235</v>
      </c>
      <c r="C29">
        <v>22</v>
      </c>
      <c r="D29" s="12">
        <v>1</v>
      </c>
      <c r="E29" s="10">
        <f>(C29+(D29/12))/20</f>
        <v>1.1041666666666665</v>
      </c>
      <c r="F29" s="9">
        <f>(E29-E28)/E28</f>
        <v>0</v>
      </c>
      <c r="G29">
        <v>19.2904</v>
      </c>
      <c r="H29" s="9">
        <f>(G29-G28)/G28</f>
        <v>0</v>
      </c>
      <c r="I29" s="10">
        <v>0.216</v>
      </c>
      <c r="J29" s="9">
        <f>(I29-I28)/I28</f>
        <v>0</v>
      </c>
      <c r="K29" s="10">
        <f>1/E29</f>
        <v>0.9056603773584907</v>
      </c>
    </row>
    <row r="30" spans="1:11" ht="12.75">
      <c r="A30" s="17"/>
      <c r="B30" s="17" t="s">
        <v>172</v>
      </c>
      <c r="C30">
        <v>22</v>
      </c>
      <c r="D30" s="12">
        <v>6</v>
      </c>
      <c r="E30" s="10">
        <f>(C30+(D30/12))/20</f>
        <v>1.125</v>
      </c>
      <c r="F30" s="9">
        <f>(E30-E29)/E29</f>
        <v>0.018867924528302025</v>
      </c>
      <c r="G30">
        <v>19.2904</v>
      </c>
      <c r="H30" s="9">
        <f>(G30-G29)/G29</f>
        <v>0</v>
      </c>
      <c r="I30" s="10">
        <v>0.216</v>
      </c>
      <c r="J30" s="9">
        <f>(I30-I29)/I29</f>
        <v>0</v>
      </c>
      <c r="K30" s="10">
        <f>1/E30</f>
        <v>0.8888888888888888</v>
      </c>
    </row>
    <row r="31" spans="1:11" ht="12.75">
      <c r="A31" s="17"/>
      <c r="B31" s="17" t="s">
        <v>280</v>
      </c>
      <c r="C31">
        <v>22</v>
      </c>
      <c r="D31" s="12">
        <v>10</v>
      </c>
      <c r="E31" s="10">
        <f>(C31+(D31/12))/20</f>
        <v>1.1416666666666666</v>
      </c>
      <c r="F31" s="9">
        <f>(E31-E30)/E30</f>
        <v>0.014814814814814762</v>
      </c>
      <c r="G31">
        <v>19.2904</v>
      </c>
      <c r="H31" s="9">
        <f>(G31-G30)/G30</f>
        <v>0</v>
      </c>
      <c r="I31" s="10">
        <v>0.216</v>
      </c>
      <c r="J31" s="9">
        <f>(I31-I30)/I30</f>
        <v>0</v>
      </c>
      <c r="K31" s="10">
        <f>1/E31</f>
        <v>0.8759124087591241</v>
      </c>
    </row>
    <row r="32" spans="1:11" ht="12.75">
      <c r="A32" s="17"/>
      <c r="B32" s="17" t="s">
        <v>254</v>
      </c>
      <c r="C32">
        <v>22</v>
      </c>
      <c r="D32" s="12">
        <v>8.5</v>
      </c>
      <c r="E32" s="10">
        <f>(C32+(D32/12))/20</f>
        <v>1.1354166666666665</v>
      </c>
      <c r="F32" s="9">
        <f>(E32-E31)/E31</f>
        <v>-0.005474452554744604</v>
      </c>
      <c r="G32">
        <v>19.2904</v>
      </c>
      <c r="H32" s="9">
        <f>(G32-G31)/G31</f>
        <v>0</v>
      </c>
      <c r="I32" s="10">
        <v>0.216</v>
      </c>
      <c r="J32" s="9">
        <f>(I32-I31)/I31</f>
        <v>0</v>
      </c>
      <c r="K32" s="10">
        <f>1/E32</f>
        <v>0.8807339449541286</v>
      </c>
    </row>
    <row r="33" spans="1:11" ht="12.75">
      <c r="A33" s="17"/>
      <c r="B33" s="17" t="s">
        <v>253</v>
      </c>
      <c r="C33">
        <v>23</v>
      </c>
      <c r="D33" s="12">
        <v>0.5</v>
      </c>
      <c r="E33" s="10">
        <f>(C33+(D33/12))/20</f>
        <v>1.1520833333333333</v>
      </c>
      <c r="F33" s="9">
        <f>(E33-E32)/E32</f>
        <v>0.014678899082568952</v>
      </c>
      <c r="G33">
        <v>19.2904</v>
      </c>
      <c r="H33" s="9">
        <f>(G33-G32)/G32</f>
        <v>0</v>
      </c>
      <c r="I33" s="10">
        <v>0.216</v>
      </c>
      <c r="J33" s="9">
        <f>(I33-I32)/I32</f>
        <v>0</v>
      </c>
      <c r="K33" s="10">
        <f>1/E33</f>
        <v>0.8679927667269439</v>
      </c>
    </row>
    <row r="34" spans="1:11" ht="12.75">
      <c r="A34" s="17"/>
      <c r="B34" s="17" t="s">
        <v>184</v>
      </c>
      <c r="C34">
        <v>22</v>
      </c>
      <c r="D34" s="12">
        <v>9</v>
      </c>
      <c r="E34" s="10">
        <f>(C34+(D34/12))/20</f>
        <v>1.1375</v>
      </c>
      <c r="F34" s="9">
        <f>(E34-E33)/E33</f>
        <v>-0.012658227848101318</v>
      </c>
      <c r="G34">
        <v>19.2904</v>
      </c>
      <c r="H34" s="9">
        <f>(G34-G33)/G33</f>
        <v>0</v>
      </c>
      <c r="I34" s="10">
        <v>0.216</v>
      </c>
      <c r="J34" s="9">
        <f>(I34-I33)/I33</f>
        <v>0</v>
      </c>
      <c r="K34" s="10">
        <f>1/E34</f>
        <v>0.8791208791208791</v>
      </c>
    </row>
    <row r="35" spans="1:11" ht="12.75">
      <c r="A35" s="17">
        <v>1548</v>
      </c>
      <c r="B35" s="17" t="s">
        <v>234</v>
      </c>
      <c r="C35">
        <v>22</v>
      </c>
      <c r="D35" s="12">
        <v>9</v>
      </c>
      <c r="E35" s="10">
        <f>(C35+(D35/12))/20</f>
        <v>1.1375</v>
      </c>
      <c r="F35" s="9">
        <f>(E35-E34)/E34</f>
        <v>0</v>
      </c>
      <c r="G35">
        <v>19.2904</v>
      </c>
      <c r="H35" s="9">
        <f>(G35-G34)/G34</f>
        <v>0</v>
      </c>
      <c r="I35" s="10">
        <v>0.216</v>
      </c>
      <c r="J35" s="9">
        <f>(I35-I34)/I34</f>
        <v>0</v>
      </c>
      <c r="K35" s="10">
        <f>1/E35</f>
        <v>0.8791208791208791</v>
      </c>
    </row>
    <row r="36" spans="1:11" ht="12.75">
      <c r="A36" s="17"/>
      <c r="B36" s="17" t="s">
        <v>193</v>
      </c>
      <c r="C36">
        <v>22</v>
      </c>
      <c r="D36" s="12">
        <v>0.5</v>
      </c>
      <c r="E36" s="10">
        <f>(C36+(D36/12))/20</f>
        <v>1.1020833333333333</v>
      </c>
      <c r="F36" s="9">
        <f>(E36-E35)/E35</f>
        <v>-0.031135531135531122</v>
      </c>
      <c r="G36">
        <v>19.2904</v>
      </c>
      <c r="H36" s="9">
        <f>(G36-G35)/G35</f>
        <v>0</v>
      </c>
      <c r="I36" s="10">
        <v>0.216</v>
      </c>
      <c r="J36" s="9">
        <f>(I36-I35)/I35</f>
        <v>0</v>
      </c>
      <c r="K36" s="10">
        <f>1/E36</f>
        <v>0.9073724007561437</v>
      </c>
    </row>
    <row r="37" spans="1:11" ht="12.75">
      <c r="A37" s="17"/>
      <c r="B37" s="17" t="s">
        <v>244</v>
      </c>
      <c r="C37">
        <v>21</v>
      </c>
      <c r="D37" s="12">
        <v>10.5</v>
      </c>
      <c r="E37" s="10">
        <f>(C37+(D37/12))/20</f>
        <v>1.09375</v>
      </c>
      <c r="F37" s="9">
        <f>(E37-E36)/E36</f>
        <v>-0.007561436672967837</v>
      </c>
      <c r="G37">
        <v>19.2904</v>
      </c>
      <c r="H37" s="9">
        <f>(G37-G36)/G36</f>
        <v>0</v>
      </c>
      <c r="I37" s="10">
        <v>0.216</v>
      </c>
      <c r="J37" s="9">
        <f>(I37-I36)/I36</f>
        <v>0</v>
      </c>
      <c r="K37" s="10">
        <f>1/E37</f>
        <v>0.9142857142857143</v>
      </c>
    </row>
    <row r="38" spans="1:11" ht="12.75">
      <c r="A38" s="17"/>
      <c r="B38" s="17" t="s">
        <v>170</v>
      </c>
      <c r="C38">
        <v>21</v>
      </c>
      <c r="D38" s="12">
        <v>10.5</v>
      </c>
      <c r="E38" s="10">
        <f>(C38+(D38/12))/20</f>
        <v>1.09375</v>
      </c>
      <c r="F38" s="9">
        <f>(E38-E37)/E37</f>
        <v>0</v>
      </c>
      <c r="G38">
        <v>19.2904</v>
      </c>
      <c r="H38" s="9">
        <f>(G38-G37)/G37</f>
        <v>0</v>
      </c>
      <c r="I38" s="10">
        <v>0.216</v>
      </c>
      <c r="J38" s="9">
        <f>(I38-I37)/I37</f>
        <v>0</v>
      </c>
      <c r="K38" s="10">
        <f>1/E38</f>
        <v>0.9142857142857143</v>
      </c>
    </row>
    <row r="39" spans="1:11" ht="12.75">
      <c r="A39" s="17"/>
      <c r="B39" s="17" t="s">
        <v>245</v>
      </c>
      <c r="C39">
        <v>21</v>
      </c>
      <c r="D39" s="12">
        <v>10.5</v>
      </c>
      <c r="E39" s="10">
        <f>(C39+(D39/12))/20</f>
        <v>1.09375</v>
      </c>
      <c r="F39" s="9">
        <f>(E39-E38)/E38</f>
        <v>0</v>
      </c>
      <c r="G39">
        <v>19.2904</v>
      </c>
      <c r="H39" s="9">
        <f>(G39-G38)/G38</f>
        <v>0</v>
      </c>
      <c r="I39" s="10">
        <v>0.216</v>
      </c>
      <c r="J39" s="9">
        <f>(I39-I38)/I38</f>
        <v>0</v>
      </c>
      <c r="K39" s="10">
        <f>1/E39</f>
        <v>0.9142857142857143</v>
      </c>
    </row>
    <row r="40" spans="1:11" ht="12.75">
      <c r="A40" s="17"/>
      <c r="B40" s="17" t="s">
        <v>236</v>
      </c>
      <c r="C40">
        <v>22</v>
      </c>
      <c r="D40" s="12">
        <v>3.5</v>
      </c>
      <c r="E40" s="10">
        <f>(C40+(D40/12))/20</f>
        <v>1.1145833333333335</v>
      </c>
      <c r="F40" s="9">
        <f>(E40-E39)/E39</f>
        <v>0.019047619047619185</v>
      </c>
      <c r="G40">
        <v>19.2904</v>
      </c>
      <c r="H40" s="9">
        <f>(G40-G39)/G39</f>
        <v>0</v>
      </c>
      <c r="I40" s="10">
        <v>0.216</v>
      </c>
      <c r="J40" s="9">
        <f>(I40-I39)/I39</f>
        <v>0</v>
      </c>
      <c r="K40" s="10">
        <f>1/E40</f>
        <v>0.8971962616822429</v>
      </c>
    </row>
    <row r="41" spans="1:11" ht="12.75">
      <c r="A41" s="17"/>
      <c r="B41" s="17" t="s">
        <v>235</v>
      </c>
      <c r="C41">
        <v>22</v>
      </c>
      <c r="D41" s="12">
        <v>3</v>
      </c>
      <c r="E41" s="10">
        <f>(C41+(D41/12))/20</f>
        <v>1.1125</v>
      </c>
      <c r="F41" s="9">
        <f>(E41-E40)/E40</f>
        <v>-0.0018691588785047656</v>
      </c>
      <c r="G41">
        <v>19.2904</v>
      </c>
      <c r="H41" s="9">
        <f>(G41-G40)/G40</f>
        <v>0</v>
      </c>
      <c r="I41" s="10">
        <v>0.216</v>
      </c>
      <c r="J41" s="9">
        <f>(I41-I40)/I40</f>
        <v>0</v>
      </c>
      <c r="K41" s="10">
        <f>1/E41</f>
        <v>0.898876404494382</v>
      </c>
    </row>
    <row r="42" spans="1:11" ht="12.75">
      <c r="A42" s="17"/>
      <c r="B42" s="17" t="s">
        <v>172</v>
      </c>
      <c r="C42">
        <v>22</v>
      </c>
      <c r="D42" s="12">
        <v>1</v>
      </c>
      <c r="E42" s="10">
        <f>(C42+(D42/12))/20</f>
        <v>1.1041666666666665</v>
      </c>
      <c r="F42" s="9">
        <f>(E42-E41)/E41</f>
        <v>-0.007490636704120023</v>
      </c>
      <c r="G42">
        <v>19.2904</v>
      </c>
      <c r="H42" s="9">
        <f>(G42-G41)/G41</f>
        <v>0</v>
      </c>
      <c r="I42" s="10">
        <v>0.216</v>
      </c>
      <c r="J42" s="9">
        <f>(I42-I41)/I41</f>
        <v>0</v>
      </c>
      <c r="K42" s="10">
        <f>1/E42</f>
        <v>0.9056603773584907</v>
      </c>
    </row>
    <row r="43" spans="1:11" ht="12.75">
      <c r="A43" s="17"/>
      <c r="B43" s="17" t="s">
        <v>280</v>
      </c>
      <c r="C43">
        <v>22</v>
      </c>
      <c r="D43" s="12">
        <v>0</v>
      </c>
      <c r="E43" s="10">
        <f>(C43+(D43/12))/20</f>
        <v>1.1</v>
      </c>
      <c r="F43" s="9">
        <f>(E43-E42)/E42</f>
        <v>-0.003773584905660163</v>
      </c>
      <c r="G43">
        <v>19.2904</v>
      </c>
      <c r="H43" s="9">
        <f>(G43-G42)/G42</f>
        <v>0</v>
      </c>
      <c r="I43" s="10">
        <v>0.216</v>
      </c>
      <c r="J43" s="9">
        <f>(I43-I42)/I42</f>
        <v>0</v>
      </c>
      <c r="K43" s="10">
        <f>1/E43</f>
        <v>0.9090909090909091</v>
      </c>
    </row>
    <row r="44" spans="1:11" ht="12.75">
      <c r="A44" s="17"/>
      <c r="B44" s="17" t="s">
        <v>254</v>
      </c>
      <c r="C44">
        <v>22</v>
      </c>
      <c r="D44" s="12">
        <v>2</v>
      </c>
      <c r="E44" s="10">
        <f>(C44+(D44/12))/20</f>
        <v>1.1083333333333334</v>
      </c>
      <c r="F44" s="9">
        <f>(E44-E43)/E43</f>
        <v>0.007575757575757548</v>
      </c>
      <c r="G44">
        <v>19.2904</v>
      </c>
      <c r="H44" s="9">
        <f>(G44-G43)/G43</f>
        <v>0</v>
      </c>
      <c r="I44" s="10">
        <v>0.216</v>
      </c>
      <c r="J44" s="9">
        <f>(I44-I43)/I43</f>
        <v>0</v>
      </c>
      <c r="K44" s="10">
        <f>1/E44</f>
        <v>0.9022556390977443</v>
      </c>
    </row>
    <row r="45" spans="1:11" ht="12.75">
      <c r="A45" s="17"/>
      <c r="B45" s="17" t="s">
        <v>253</v>
      </c>
      <c r="C45">
        <v>22</v>
      </c>
      <c r="D45" s="12">
        <v>0.5</v>
      </c>
      <c r="E45" s="10">
        <f>(C45+(D45/12))/20</f>
        <v>1.1020833333333333</v>
      </c>
      <c r="F45" s="9">
        <f>(E45-E44)/E44</f>
        <v>-0.005639097744360982</v>
      </c>
      <c r="G45">
        <v>19.2904</v>
      </c>
      <c r="H45" s="9">
        <f>(G45-G44)/G44</f>
        <v>0</v>
      </c>
      <c r="I45" s="10">
        <v>0.216</v>
      </c>
      <c r="J45" s="9">
        <f>(I45-I44)/I44</f>
        <v>0</v>
      </c>
      <c r="K45" s="10">
        <f>1/E45</f>
        <v>0.9073724007561437</v>
      </c>
    </row>
    <row r="46" spans="1:11" ht="12.75">
      <c r="A46" s="17"/>
      <c r="B46" s="17" t="s">
        <v>184</v>
      </c>
      <c r="C46">
        <v>21</v>
      </c>
      <c r="D46" s="12">
        <v>3.5</v>
      </c>
      <c r="E46" s="10">
        <f>(C46+(D46/12))/20</f>
        <v>1.0645833333333334</v>
      </c>
      <c r="F46" s="9">
        <f>(E46-E45)/E45</f>
        <v>-0.03402646502835527</v>
      </c>
      <c r="G46">
        <v>19.2904</v>
      </c>
      <c r="H46" s="9">
        <f>(G46-G45)/G45</f>
        <v>0</v>
      </c>
      <c r="I46" s="10">
        <v>0.216</v>
      </c>
      <c r="J46" s="9">
        <f>(I46-I45)/I45</f>
        <v>0</v>
      </c>
      <c r="K46" s="10">
        <f>1/E46</f>
        <v>0.9393346379647749</v>
      </c>
    </row>
    <row r="47" spans="1:11" ht="12.75">
      <c r="A47" s="17">
        <v>1549</v>
      </c>
      <c r="B47" s="17" t="s">
        <v>234</v>
      </c>
      <c r="C47">
        <v>21</v>
      </c>
      <c r="D47" s="12">
        <v>6</v>
      </c>
      <c r="E47" s="10">
        <f>(C47+(D47/12))/20</f>
        <v>1.075</v>
      </c>
      <c r="F47" s="9">
        <f>(E47-E46)/E46</f>
        <v>0.009784735812132933</v>
      </c>
      <c r="G47">
        <v>19.2904</v>
      </c>
      <c r="H47" s="9">
        <f>(G47-G46)/G46</f>
        <v>0</v>
      </c>
      <c r="I47" s="10">
        <v>0.216</v>
      </c>
      <c r="J47" s="9">
        <f>(I47-I46)/I46</f>
        <v>0</v>
      </c>
      <c r="K47" s="10">
        <f>1/E47</f>
        <v>0.9302325581395349</v>
      </c>
    </row>
    <row r="48" spans="1:11" ht="12.75">
      <c r="A48" s="17"/>
      <c r="B48" s="17" t="s">
        <v>193</v>
      </c>
      <c r="C48">
        <v>21</v>
      </c>
      <c r="D48" s="12">
        <v>2.5</v>
      </c>
      <c r="E48" s="10">
        <f>(C48+(D48/12))/20</f>
        <v>1.0604166666666666</v>
      </c>
      <c r="F48" s="9">
        <f>(E48-E47)/E47</f>
        <v>-0.013565891472868272</v>
      </c>
      <c r="G48">
        <v>19.2904</v>
      </c>
      <c r="H48" s="9">
        <f>(G48-G47)/G47</f>
        <v>0</v>
      </c>
      <c r="I48" s="10">
        <v>0.216</v>
      </c>
      <c r="J48" s="9">
        <f>(I48-I47)/I47</f>
        <v>0</v>
      </c>
      <c r="K48" s="10">
        <f>1/E48</f>
        <v>0.9430255402750493</v>
      </c>
    </row>
    <row r="49" spans="1:11" ht="12.75">
      <c r="A49" s="17"/>
      <c r="B49" s="17" t="s">
        <v>244</v>
      </c>
      <c r="C49">
        <v>20</v>
      </c>
      <c r="D49" s="12">
        <v>2</v>
      </c>
      <c r="E49" s="10">
        <f>(C49+(D49/12))/20</f>
        <v>1.0083333333333333</v>
      </c>
      <c r="F49" s="9">
        <f>(E49-E48)/E48</f>
        <v>-0.049115913555992076</v>
      </c>
      <c r="G49">
        <v>19.2904</v>
      </c>
      <c r="H49" s="9">
        <f>(G49-G48)/G48</f>
        <v>0</v>
      </c>
      <c r="I49" s="10">
        <v>0.216</v>
      </c>
      <c r="J49" s="9">
        <f>(I49-I48)/I48</f>
        <v>0</v>
      </c>
      <c r="K49" s="10">
        <f>1/E49</f>
        <v>0.9917355371900827</v>
      </c>
    </row>
    <row r="50" spans="1:11" ht="12.75">
      <c r="A50" s="17"/>
      <c r="B50" s="17" t="s">
        <v>170</v>
      </c>
      <c r="C50">
        <v>20</v>
      </c>
      <c r="D50" s="12">
        <v>4.5</v>
      </c>
      <c r="E50" s="10">
        <f>(C50+(D50/12))/20</f>
        <v>1.01875</v>
      </c>
      <c r="F50" s="9">
        <f>(E50-E49)/E49</f>
        <v>0.010330578512396767</v>
      </c>
      <c r="G50">
        <v>19.2904</v>
      </c>
      <c r="H50" s="9">
        <f>(G50-G49)/G49</f>
        <v>0</v>
      </c>
      <c r="I50" s="10">
        <v>0.216</v>
      </c>
      <c r="J50" s="9">
        <f>(I50-I49)/I49</f>
        <v>0</v>
      </c>
      <c r="K50" s="10">
        <f>1/E50</f>
        <v>0.9815950920245399</v>
      </c>
    </row>
    <row r="51" spans="1:11" ht="12.75">
      <c r="A51" s="17"/>
      <c r="B51" s="17" t="s">
        <v>245</v>
      </c>
      <c r="C51">
        <v>20</v>
      </c>
      <c r="D51" s="12">
        <v>6</v>
      </c>
      <c r="E51" s="10">
        <f>(C51+(D51/12))/20</f>
        <v>1.025</v>
      </c>
      <c r="F51" s="9">
        <f>(E51-E50)/E50</f>
        <v>0.006134969325153243</v>
      </c>
      <c r="G51">
        <v>19.2904</v>
      </c>
      <c r="H51" s="9">
        <f>(G51-G50)/G50</f>
        <v>0</v>
      </c>
      <c r="I51" s="10">
        <v>0.216</v>
      </c>
      <c r="J51" s="9">
        <f>(I51-I50)/I50</f>
        <v>0</v>
      </c>
      <c r="K51" s="10">
        <f>1/E51</f>
        <v>0.9756097560975611</v>
      </c>
    </row>
    <row r="52" spans="1:11" ht="12.75">
      <c r="A52" s="17"/>
      <c r="B52" s="17" t="s">
        <v>236</v>
      </c>
      <c r="C52">
        <v>20</v>
      </c>
      <c r="D52" s="12">
        <v>3.5</v>
      </c>
      <c r="E52" s="10">
        <f>(C52+(D52/12))/20</f>
        <v>1.0145833333333334</v>
      </c>
      <c r="F52" s="9">
        <f>(E52-E51)/E51</f>
        <v>-0.010162601626016116</v>
      </c>
      <c r="G52">
        <v>19.2904</v>
      </c>
      <c r="H52" s="9">
        <f>(G52-G51)/G51</f>
        <v>0</v>
      </c>
      <c r="I52" s="10">
        <v>0.216</v>
      </c>
      <c r="J52" s="9">
        <f>(I52-I51)/I51</f>
        <v>0</v>
      </c>
      <c r="K52" s="10">
        <f>1/E52</f>
        <v>0.9856262833675564</v>
      </c>
    </row>
    <row r="53" spans="1:11" ht="12.75">
      <c r="A53" s="17"/>
      <c r="B53" s="17" t="s">
        <v>235</v>
      </c>
      <c r="C53">
        <v>20</v>
      </c>
      <c r="D53" s="12">
        <v>4.5</v>
      </c>
      <c r="E53" s="10">
        <f>(C53+(D53/12))/20</f>
        <v>1.01875</v>
      </c>
      <c r="F53" s="9">
        <f>(E53-E52)/E52</f>
        <v>0.004106776180698137</v>
      </c>
      <c r="G53">
        <v>19.2904</v>
      </c>
      <c r="H53" s="9">
        <f>(G53-G52)/G52</f>
        <v>0</v>
      </c>
      <c r="I53" s="10">
        <v>0.216</v>
      </c>
      <c r="J53" s="9">
        <f>(I53-I52)/I52</f>
        <v>0</v>
      </c>
      <c r="K53" s="10">
        <f>1/E53</f>
        <v>0.9815950920245399</v>
      </c>
    </row>
    <row r="54" spans="1:11" ht="12.75">
      <c r="A54" s="17"/>
      <c r="B54" s="17" t="s">
        <v>172</v>
      </c>
      <c r="C54">
        <v>20</v>
      </c>
      <c r="D54" s="12">
        <v>2.5</v>
      </c>
      <c r="E54" s="10">
        <f>(C54+(D54/12))/20</f>
        <v>1.0104166666666665</v>
      </c>
      <c r="F54" s="9">
        <f>(E54-E53)/E53</f>
        <v>-0.008179959100204687</v>
      </c>
      <c r="G54">
        <v>19.2904</v>
      </c>
      <c r="H54" s="9">
        <f>(G54-G53)/G53</f>
        <v>0</v>
      </c>
      <c r="I54" s="10">
        <v>0.216</v>
      </c>
      <c r="J54" s="9">
        <f>(I54-I53)/I53</f>
        <v>0</v>
      </c>
      <c r="K54" s="10">
        <f>1/E54</f>
        <v>0.9896907216494847</v>
      </c>
    </row>
    <row r="55" spans="1:11" ht="12.75">
      <c r="A55" s="17"/>
      <c r="B55" s="17" t="s">
        <v>280</v>
      </c>
      <c r="C55">
        <v>20</v>
      </c>
      <c r="D55" s="12">
        <v>3.5</v>
      </c>
      <c r="E55" s="10">
        <f>(C55+(D55/12))/20</f>
        <v>1.0145833333333334</v>
      </c>
      <c r="F55" s="9">
        <f>(E55-E54)/E54</f>
        <v>0.004123711340206391</v>
      </c>
      <c r="G55">
        <v>19.2904</v>
      </c>
      <c r="H55" s="9">
        <f>(G55-G54)/G54</f>
        <v>0</v>
      </c>
      <c r="I55" s="10">
        <v>0.216</v>
      </c>
      <c r="J55" s="9">
        <f>(I55-I54)/I54</f>
        <v>0</v>
      </c>
      <c r="K55" s="10">
        <f>1/E55</f>
        <v>0.9856262833675564</v>
      </c>
    </row>
    <row r="56" spans="1:11" ht="12.75">
      <c r="A56" s="17"/>
      <c r="B56" s="17" t="s">
        <v>254</v>
      </c>
      <c r="C56">
        <v>20</v>
      </c>
      <c r="D56" s="12">
        <v>1.5</v>
      </c>
      <c r="E56" s="10">
        <f>(C56+(D56/12))/20</f>
        <v>1.00625</v>
      </c>
      <c r="F56" s="9">
        <f>(E56-E55)/E55</f>
        <v>-0.008213552361396275</v>
      </c>
      <c r="G56">
        <v>19.2904</v>
      </c>
      <c r="H56" s="9">
        <f>(G56-G55)/G55</f>
        <v>0</v>
      </c>
      <c r="I56" s="10">
        <v>0.216</v>
      </c>
      <c r="J56" s="9">
        <f>(I56-I55)/I55</f>
        <v>0</v>
      </c>
      <c r="K56" s="10">
        <f>1/E56</f>
        <v>0.9937888198757763</v>
      </c>
    </row>
    <row r="57" spans="1:11" ht="12.75">
      <c r="A57" s="17"/>
      <c r="B57" s="17" t="s">
        <v>253</v>
      </c>
      <c r="C57">
        <v>20</v>
      </c>
      <c r="D57" s="12">
        <v>1</v>
      </c>
      <c r="E57" s="10">
        <f>(C57+(D57/12))/20</f>
        <v>1.0041666666666667</v>
      </c>
      <c r="F57" s="9">
        <f>(E57-E56)/E56</f>
        <v>-0.0020703933747413038</v>
      </c>
      <c r="G57">
        <v>19.2904</v>
      </c>
      <c r="H57" s="9">
        <f>(G57-G56)/G56</f>
        <v>0</v>
      </c>
      <c r="I57" s="10">
        <v>0.216</v>
      </c>
      <c r="J57" s="9">
        <f>(I57-I56)/I56</f>
        <v>0</v>
      </c>
      <c r="K57" s="10">
        <f>1/E57</f>
        <v>0.995850622406639</v>
      </c>
    </row>
    <row r="58" spans="1:11" ht="12.75">
      <c r="A58" s="17"/>
      <c r="B58" s="17" t="s">
        <v>184</v>
      </c>
      <c r="C58">
        <v>19</v>
      </c>
      <c r="D58" s="12">
        <v>7.5</v>
      </c>
      <c r="E58" s="10">
        <f>(C58+(D58/12))/20</f>
        <v>0.98125</v>
      </c>
      <c r="F58" s="9">
        <f>(E58-E57)/E57</f>
        <v>-0.022821576763485507</v>
      </c>
      <c r="G58">
        <v>19.2904</v>
      </c>
      <c r="H58" s="9">
        <f>(G58-G57)/G57</f>
        <v>0</v>
      </c>
      <c r="I58" s="10">
        <v>0.216</v>
      </c>
      <c r="J58" s="9">
        <f>(I58-I57)/I57</f>
        <v>0</v>
      </c>
      <c r="K58" s="10">
        <f>1/E58</f>
        <v>1.019108280254777</v>
      </c>
    </row>
    <row r="59" spans="1:11" ht="12.75">
      <c r="A59" s="17">
        <v>1550</v>
      </c>
      <c r="B59" s="17" t="s">
        <v>234</v>
      </c>
      <c r="C59">
        <v>19</v>
      </c>
      <c r="D59" s="12">
        <v>7.5</v>
      </c>
      <c r="E59" s="10">
        <f>(C59+(D59/12))/20</f>
        <v>0.98125</v>
      </c>
      <c r="F59" s="9">
        <f>(E59-E58)/E58</f>
        <v>0</v>
      </c>
      <c r="G59">
        <v>19.2904</v>
      </c>
      <c r="H59" s="9">
        <f>(G59-G58)/G58</f>
        <v>0</v>
      </c>
      <c r="I59" s="10">
        <v>0.216</v>
      </c>
      <c r="J59" s="9">
        <f>(I59-I58)/I58</f>
        <v>0</v>
      </c>
      <c r="K59" s="10">
        <f>1/E59</f>
        <v>1.019108280254777</v>
      </c>
    </row>
    <row r="60" spans="1:11" ht="12.75">
      <c r="A60" s="17"/>
      <c r="B60" s="17" t="s">
        <v>193</v>
      </c>
      <c r="C60">
        <v>19</v>
      </c>
      <c r="D60" s="12">
        <v>7.5</v>
      </c>
      <c r="E60" s="10">
        <f>(C60+(D60/12))/20</f>
        <v>0.98125</v>
      </c>
      <c r="F60" s="9">
        <f>(E60-E59)/E59</f>
        <v>0</v>
      </c>
      <c r="G60">
        <v>19.2904</v>
      </c>
      <c r="H60" s="9">
        <f>(G60-G59)/G59</f>
        <v>0</v>
      </c>
      <c r="I60" s="10">
        <v>0.216</v>
      </c>
      <c r="J60" s="9">
        <f>(I60-I59)/I59</f>
        <v>0</v>
      </c>
      <c r="K60" s="10">
        <f>1/E60</f>
        <v>1.019108280254777</v>
      </c>
    </row>
    <row r="61" spans="1:11" ht="12.75">
      <c r="A61" s="17"/>
      <c r="B61" s="17" t="s">
        <v>244</v>
      </c>
      <c r="C61">
        <v>19</v>
      </c>
      <c r="D61" s="12">
        <v>7.5</v>
      </c>
      <c r="E61" s="10">
        <f>(C61+(D61/12))/20</f>
        <v>0.98125</v>
      </c>
      <c r="F61" s="9">
        <f>(E61-E60)/E60</f>
        <v>0</v>
      </c>
      <c r="G61">
        <v>19.2904</v>
      </c>
      <c r="H61" s="9">
        <f>(G61-G60)/G60</f>
        <v>0</v>
      </c>
      <c r="I61" s="10">
        <v>0.216</v>
      </c>
      <c r="J61" s="9">
        <f>(I61-I60)/I60</f>
        <v>0</v>
      </c>
      <c r="K61" s="10">
        <f>1/E61</f>
        <v>1.019108280254777</v>
      </c>
    </row>
    <row r="62" spans="1:11" ht="12.75">
      <c r="A62" s="17"/>
      <c r="B62" s="17" t="s">
        <v>170</v>
      </c>
      <c r="C62">
        <v>19</v>
      </c>
      <c r="D62" s="12">
        <v>4.5</v>
      </c>
      <c r="E62" s="10">
        <f>(C62+(D62/12))/20</f>
        <v>0.96875</v>
      </c>
      <c r="F62" s="9">
        <f>(E62-E61)/E61</f>
        <v>-0.012738853503184669</v>
      </c>
      <c r="G62">
        <v>19.2904</v>
      </c>
      <c r="H62" s="9">
        <f>(G62-G61)/G61</f>
        <v>0</v>
      </c>
      <c r="I62" s="10">
        <v>0.216</v>
      </c>
      <c r="J62" s="9">
        <f>(I62-I61)/I61</f>
        <v>0</v>
      </c>
      <c r="K62" s="10">
        <f>1/E62</f>
        <v>1.032258064516129</v>
      </c>
    </row>
    <row r="63" spans="1:11" ht="12.75">
      <c r="A63" s="17"/>
      <c r="B63" s="17" t="s">
        <v>245</v>
      </c>
      <c r="C63">
        <v>20</v>
      </c>
      <c r="D63" s="12">
        <v>0.5</v>
      </c>
      <c r="E63" s="10">
        <f>(C63+(D63/12))/20</f>
        <v>1.0020833333333334</v>
      </c>
      <c r="F63" s="9">
        <f>(E63-E62)/E62</f>
        <v>0.03440860215053774</v>
      </c>
      <c r="G63">
        <v>19.2904</v>
      </c>
      <c r="H63" s="9">
        <f>(G63-G62)/G62</f>
        <v>0</v>
      </c>
      <c r="I63" s="10">
        <v>0.216</v>
      </c>
      <c r="J63" s="9">
        <f>(I63-I62)/I62</f>
        <v>0</v>
      </c>
      <c r="K63" s="10">
        <f>1/E63</f>
        <v>0.9979209979209979</v>
      </c>
    </row>
    <row r="64" spans="1:11" ht="12.75">
      <c r="A64" s="17"/>
      <c r="B64" s="17" t="s">
        <v>236</v>
      </c>
      <c r="C64">
        <v>19</v>
      </c>
      <c r="D64" s="12">
        <v>5.5</v>
      </c>
      <c r="E64" s="10">
        <f>(C64+(D64/12))/20</f>
        <v>0.9729166666666667</v>
      </c>
      <c r="F64" s="9">
        <f>(E64-E63)/E63</f>
        <v>-0.029106029106029222</v>
      </c>
      <c r="G64">
        <v>19.2904</v>
      </c>
      <c r="H64" s="9">
        <f>(G64-G63)/G63</f>
        <v>0</v>
      </c>
      <c r="I64" s="10">
        <v>0.216</v>
      </c>
      <c r="J64" s="9">
        <f>(I64-I63)/I63</f>
        <v>0</v>
      </c>
      <c r="K64" s="10">
        <f>1/E64</f>
        <v>1.0278372591006424</v>
      </c>
    </row>
    <row r="65" spans="1:11" ht="12.75">
      <c r="A65" s="17"/>
      <c r="B65" s="17" t="s">
        <v>235</v>
      </c>
      <c r="C65">
        <v>19</v>
      </c>
      <c r="D65" s="12">
        <v>6.5</v>
      </c>
      <c r="E65" s="10">
        <f>(C65+(D65/12))/20</f>
        <v>0.9770833333333334</v>
      </c>
      <c r="F65" s="9">
        <f>(E65-E64)/E64</f>
        <v>0.004282655246252776</v>
      </c>
      <c r="G65">
        <v>19.2904</v>
      </c>
      <c r="H65" s="9">
        <f>(G65-G64)/G64</f>
        <v>0</v>
      </c>
      <c r="I65" s="10">
        <v>0.216</v>
      </c>
      <c r="J65" s="9">
        <f>(I65-I64)/I64</f>
        <v>0</v>
      </c>
      <c r="K65" s="10">
        <f>1/E65</f>
        <v>1.0234541577825158</v>
      </c>
    </row>
    <row r="66" spans="1:11" ht="12.75">
      <c r="A66" s="17"/>
      <c r="B66" s="17" t="s">
        <v>172</v>
      </c>
      <c r="C66">
        <v>18</v>
      </c>
      <c r="D66" s="12">
        <v>11.5</v>
      </c>
      <c r="E66" s="10">
        <f>(C66+(D66/12))/20</f>
        <v>0.9479166666666666</v>
      </c>
      <c r="F66" s="9">
        <f>(E66-E65)/E65</f>
        <v>-0.029850746268656834</v>
      </c>
      <c r="G66">
        <v>19.2904</v>
      </c>
      <c r="H66" s="9">
        <f>(G66-G65)/G65</f>
        <v>0</v>
      </c>
      <c r="I66" s="10">
        <v>0.216</v>
      </c>
      <c r="J66" s="9">
        <f>(I66-I65)/I65</f>
        <v>0</v>
      </c>
      <c r="K66" s="10">
        <f>1/E66</f>
        <v>1.054945054945055</v>
      </c>
    </row>
    <row r="67" spans="1:11" ht="12.75">
      <c r="A67" s="17"/>
      <c r="B67" s="17" t="s">
        <v>280</v>
      </c>
      <c r="C67">
        <v>18</v>
      </c>
      <c r="D67" s="12">
        <v>4.5</v>
      </c>
      <c r="E67" s="10">
        <f>(C67+(D67/12))/20</f>
        <v>0.91875</v>
      </c>
      <c r="F67" s="9">
        <f>(E67-E66)/E66</f>
        <v>-0.030769230769230778</v>
      </c>
      <c r="G67">
        <v>19.2904</v>
      </c>
      <c r="H67" s="9">
        <f>(G67-G66)/G66</f>
        <v>0</v>
      </c>
      <c r="I67" s="10">
        <v>0.216</v>
      </c>
      <c r="J67" s="9">
        <f>(I67-I66)/I66</f>
        <v>0</v>
      </c>
      <c r="K67" s="10">
        <f>1/E67</f>
        <v>1.08843537414966</v>
      </c>
    </row>
    <row r="68" spans="1:11" ht="12.75">
      <c r="A68" s="17"/>
      <c r="B68" s="17" t="s">
        <v>254</v>
      </c>
      <c r="C68">
        <v>18</v>
      </c>
      <c r="D68" s="12">
        <v>0</v>
      </c>
      <c r="E68" s="10">
        <f>(C68+(D68/12))/20</f>
        <v>0.9</v>
      </c>
      <c r="F68" s="9">
        <f>(E68-E67)/E67</f>
        <v>-0.02040816326530605</v>
      </c>
      <c r="G68">
        <v>19.2904</v>
      </c>
      <c r="H68" s="9">
        <f>(G68-G67)/G67</f>
        <v>0</v>
      </c>
      <c r="I68" s="10">
        <v>0.216</v>
      </c>
      <c r="J68" s="9">
        <f>(I68-I67)/I67</f>
        <v>0</v>
      </c>
      <c r="K68" s="10">
        <f>1/E68</f>
        <v>1.1111111111111112</v>
      </c>
    </row>
    <row r="69" spans="1:11" ht="12.75">
      <c r="A69" s="17"/>
      <c r="B69" s="17" t="s">
        <v>253</v>
      </c>
      <c r="C69">
        <v>18</v>
      </c>
      <c r="D69" s="12">
        <v>0</v>
      </c>
      <c r="E69" s="10">
        <f>(C69+(D69/12))/20</f>
        <v>0.9</v>
      </c>
      <c r="F69" s="9">
        <f>(E69-E68)/E68</f>
        <v>0</v>
      </c>
      <c r="G69">
        <v>19.2904</v>
      </c>
      <c r="H69" s="9">
        <f>(G69-G68)/G68</f>
        <v>0</v>
      </c>
      <c r="I69" s="10">
        <v>0.216</v>
      </c>
      <c r="J69" s="9">
        <f>(I69-I68)/I68</f>
        <v>0</v>
      </c>
      <c r="K69" s="10">
        <f>1/E69</f>
        <v>1.1111111111111112</v>
      </c>
    </row>
    <row r="70" spans="1:11" ht="12.75">
      <c r="A70" s="17"/>
      <c r="B70" s="17" t="s">
        <v>184</v>
      </c>
      <c r="C70">
        <v>18</v>
      </c>
      <c r="D70" s="12">
        <v>0</v>
      </c>
      <c r="E70" s="10">
        <f>(C70+(D70/12))/20</f>
        <v>0.9</v>
      </c>
      <c r="F70" s="9">
        <f>(E70-E69)/E69</f>
        <v>0</v>
      </c>
      <c r="G70">
        <v>19.2904</v>
      </c>
      <c r="H70" s="9">
        <f>(G70-G69)/G69</f>
        <v>0</v>
      </c>
      <c r="I70" s="10">
        <v>0.216</v>
      </c>
      <c r="J70" s="9">
        <f>(I70-I69)/I69</f>
        <v>0</v>
      </c>
      <c r="K70" s="10">
        <f>1/E70</f>
        <v>1.1111111111111112</v>
      </c>
    </row>
    <row r="71" spans="1:11" ht="12.75">
      <c r="A71" s="17">
        <v>1551</v>
      </c>
      <c r="B71" s="17" t="s">
        <v>234</v>
      </c>
      <c r="C71">
        <v>18</v>
      </c>
      <c r="D71" s="12">
        <v>0</v>
      </c>
      <c r="E71" s="10">
        <f>(C71+(D71/12))/20</f>
        <v>0.9</v>
      </c>
      <c r="F71" s="9">
        <f>(E71-E70)/E70</f>
        <v>0</v>
      </c>
      <c r="G71">
        <v>19.2904</v>
      </c>
      <c r="H71" s="9">
        <f>(G71-G70)/G70</f>
        <v>0</v>
      </c>
      <c r="I71" s="10">
        <v>0.216</v>
      </c>
      <c r="J71" s="9">
        <f>(I71-I70)/I70</f>
        <v>0</v>
      </c>
      <c r="K71" s="10">
        <f>1/E71</f>
        <v>1.1111111111111112</v>
      </c>
    </row>
    <row r="72" spans="1:11" ht="12.75">
      <c r="A72" s="17"/>
      <c r="B72" s="17" t="s">
        <v>193</v>
      </c>
      <c r="C72">
        <v>16</v>
      </c>
      <c r="D72" s="12">
        <v>10.5</v>
      </c>
      <c r="E72" s="10">
        <f>(C72+(D72/12))/20</f>
        <v>0.84375</v>
      </c>
      <c r="F72" s="9">
        <f>(E72-E71)/E71</f>
        <v>-0.06250000000000003</v>
      </c>
      <c r="G72">
        <v>19.2904</v>
      </c>
      <c r="H72" s="9">
        <f>(G72-G71)/G71</f>
        <v>0</v>
      </c>
      <c r="I72" s="10">
        <v>0.216</v>
      </c>
      <c r="J72" s="9">
        <f>(I72-I71)/I71</f>
        <v>0</v>
      </c>
      <c r="K72" s="10">
        <f>1/E72</f>
        <v>1.1851851851851851</v>
      </c>
    </row>
    <row r="73" spans="1:11" ht="12.75">
      <c r="A73" s="17"/>
      <c r="B73" s="17" t="s">
        <v>244</v>
      </c>
      <c r="C73">
        <v>16</v>
      </c>
      <c r="D73" s="12">
        <v>10.5</v>
      </c>
      <c r="E73" s="10">
        <f>(C73+(D73/12))/20</f>
        <v>0.84375</v>
      </c>
      <c r="F73" s="9">
        <f>(E73-E72)/E72</f>
        <v>0</v>
      </c>
      <c r="G73">
        <v>19.2904</v>
      </c>
      <c r="H73" s="9">
        <f>(G73-G72)/G72</f>
        <v>0</v>
      </c>
      <c r="I73" s="10">
        <v>0.216</v>
      </c>
      <c r="J73" s="9">
        <f>(I73-I72)/I72</f>
        <v>0</v>
      </c>
      <c r="K73" s="10">
        <f>1/E73</f>
        <v>1.1851851851851851</v>
      </c>
    </row>
    <row r="74" spans="1:11" ht="12.75">
      <c r="A74" s="17"/>
      <c r="B74" s="17" t="s">
        <v>170</v>
      </c>
      <c r="C74">
        <v>15</v>
      </c>
      <c r="D74" s="12">
        <v>3</v>
      </c>
      <c r="E74" s="10">
        <f>(C74+(D74/12))/20</f>
        <v>0.7625</v>
      </c>
      <c r="F74" s="9">
        <f>(E74-E73)/E73</f>
        <v>-0.09629629629629635</v>
      </c>
      <c r="G74">
        <v>19.2904</v>
      </c>
      <c r="H74" s="9">
        <f>(G74-G73)/G73</f>
        <v>0</v>
      </c>
      <c r="I74" s="10">
        <v>0.216</v>
      </c>
      <c r="J74" s="9">
        <f>(I74-I73)/I73</f>
        <v>0</v>
      </c>
      <c r="K74" s="10">
        <f>1/E74</f>
        <v>1.3114754098360657</v>
      </c>
    </row>
    <row r="75" spans="1:11" ht="12.75">
      <c r="A75" s="17"/>
      <c r="B75" s="17" t="s">
        <v>245</v>
      </c>
      <c r="C75">
        <v>15</v>
      </c>
      <c r="D75" s="12">
        <v>3</v>
      </c>
      <c r="E75" s="10">
        <f>(C75+(D75/12))/20</f>
        <v>0.7625</v>
      </c>
      <c r="F75" s="9">
        <f>(E75-E74)/E74</f>
        <v>0</v>
      </c>
      <c r="G75">
        <v>38.5809</v>
      </c>
      <c r="H75" s="9">
        <f>(G75-G74)/G74</f>
        <v>1.000005183925683</v>
      </c>
      <c r="I75" s="10">
        <v>0.108</v>
      </c>
      <c r="J75" s="9">
        <f>(I75-I74)/I74</f>
        <v>-0.5</v>
      </c>
      <c r="K75" s="10">
        <f>1/E75</f>
        <v>1.3114754098360657</v>
      </c>
    </row>
    <row r="76" spans="1:11" ht="12.75">
      <c r="A76" s="17"/>
      <c r="B76" s="17" t="s">
        <v>236</v>
      </c>
      <c r="C76">
        <v>13</v>
      </c>
      <c r="D76" s="12">
        <v>1.5</v>
      </c>
      <c r="E76" s="10">
        <f>(C76+(D76/12))/20</f>
        <v>0.65625</v>
      </c>
      <c r="F76" s="9">
        <f>(E76-E75)/E75</f>
        <v>-0.13934426229508193</v>
      </c>
      <c r="G76">
        <v>38.5809</v>
      </c>
      <c r="H76" s="9">
        <f>(G76-G75)/G75</f>
        <v>0</v>
      </c>
      <c r="I76" s="10">
        <v>0.108</v>
      </c>
      <c r="J76" s="9">
        <f>(I76-I75)/I75</f>
        <v>0</v>
      </c>
      <c r="K76" s="10">
        <f>1/E76</f>
        <v>1.5238095238095237</v>
      </c>
    </row>
    <row r="77" spans="1:11" ht="12.75">
      <c r="A77" s="17"/>
      <c r="B77" s="17" t="s">
        <v>235</v>
      </c>
      <c r="C77">
        <v>12</v>
      </c>
      <c r="D77" s="12">
        <v>9</v>
      </c>
      <c r="E77" s="10">
        <f>(C77+(D77/12))/20</f>
        <v>0.6375</v>
      </c>
      <c r="F77" s="9">
        <f>(E77-E76)/E76</f>
        <v>-0.02857142857142864</v>
      </c>
      <c r="G77">
        <v>38.5809</v>
      </c>
      <c r="H77" s="9">
        <f>(G77-G76)/G76</f>
        <v>0</v>
      </c>
      <c r="I77" s="10">
        <v>0.108</v>
      </c>
      <c r="J77" s="9">
        <f>(I77-I76)/I76</f>
        <v>0</v>
      </c>
      <c r="K77" s="10">
        <f>1/E77</f>
        <v>1.5686274509803924</v>
      </c>
    </row>
    <row r="78" spans="1:11" ht="12.75">
      <c r="A78" s="17"/>
      <c r="B78" s="17" t="s">
        <v>172</v>
      </c>
      <c r="C78">
        <v>17</v>
      </c>
      <c r="D78" s="12">
        <v>10</v>
      </c>
      <c r="E78" s="10">
        <f>(C78+(D78/12))/20</f>
        <v>0.8916666666666666</v>
      </c>
      <c r="F78" s="9">
        <f>(E78-E77)/E77</f>
        <v>0.39869281045751637</v>
      </c>
      <c r="G78">
        <v>38.5809</v>
      </c>
      <c r="H78" s="9">
        <f>(G78-G77)/G77</f>
        <v>0</v>
      </c>
      <c r="I78" s="10">
        <v>0.108</v>
      </c>
      <c r="J78" s="9">
        <f>(I78-I77)/I77</f>
        <v>0</v>
      </c>
      <c r="K78" s="10">
        <f>1/E78</f>
        <v>1.1214953271028039</v>
      </c>
    </row>
    <row r="79" spans="1:11" ht="12.75">
      <c r="A79" s="17"/>
      <c r="B79" s="17" t="s">
        <v>280</v>
      </c>
      <c r="C79">
        <v>18</v>
      </c>
      <c r="D79" s="12">
        <v>7</v>
      </c>
      <c r="E79" s="10">
        <f>(C79+(D79/12))/20</f>
        <v>0.9291666666666666</v>
      </c>
      <c r="F79" s="9">
        <f>(E79-E78)/E78</f>
        <v>0.04205607476635512</v>
      </c>
      <c r="G79">
        <v>38.5809</v>
      </c>
      <c r="H79" s="9">
        <f>(G79-G78)/G78</f>
        <v>0</v>
      </c>
      <c r="I79" s="10">
        <v>0.108</v>
      </c>
      <c r="J79" s="9">
        <f>(I79-I78)/I78</f>
        <v>0</v>
      </c>
      <c r="K79" s="10">
        <f>1/E79</f>
        <v>1.0762331838565022</v>
      </c>
    </row>
    <row r="80" spans="1:11" ht="12.75">
      <c r="A80" s="17"/>
      <c r="B80" s="17" t="s">
        <v>254</v>
      </c>
      <c r="C80">
        <v>19</v>
      </c>
      <c r="D80" s="12">
        <v>2</v>
      </c>
      <c r="E80" s="10">
        <f>(C80+(D80/12))/20</f>
        <v>0.9583333333333334</v>
      </c>
      <c r="F80" s="9">
        <f>(E80-E79)/E79</f>
        <v>0.031390134529148114</v>
      </c>
      <c r="G80">
        <v>8.7287</v>
      </c>
      <c r="H80" s="9">
        <f>(G80-G79)/G79</f>
        <v>-0.773755925859687</v>
      </c>
      <c r="I80" s="10">
        <v>0.4773523263888889</v>
      </c>
      <c r="J80" s="9">
        <f>(I80-I79)/I79</f>
        <v>3.4199289480452677</v>
      </c>
      <c r="K80" s="10">
        <f>1/E80</f>
        <v>1.0434782608695652</v>
      </c>
    </row>
    <row r="81" spans="1:11" ht="12.75">
      <c r="A81" s="17"/>
      <c r="B81" s="17" t="s">
        <v>253</v>
      </c>
      <c r="C81">
        <v>18</v>
      </c>
      <c r="D81" s="12">
        <v>8</v>
      </c>
      <c r="E81" s="10">
        <f>(C81+(D81/12))/20</f>
        <v>0.9333333333333333</v>
      </c>
      <c r="F81" s="9">
        <f>(E81-E80)/E80</f>
        <v>-0.026086956521739153</v>
      </c>
      <c r="G81">
        <v>8.7287</v>
      </c>
      <c r="H81" s="9">
        <f>(G81-G80)/G80</f>
        <v>0</v>
      </c>
      <c r="I81" s="10">
        <v>0.4773523263888889</v>
      </c>
      <c r="J81" s="9">
        <f>(I81-I80)/I80</f>
        <v>0</v>
      </c>
      <c r="K81" s="10">
        <f>1/E81</f>
        <v>1.0714285714285714</v>
      </c>
    </row>
    <row r="82" spans="1:11" ht="12.75">
      <c r="A82" s="17"/>
      <c r="B82" s="17" t="s">
        <v>184</v>
      </c>
      <c r="C82">
        <v>18</v>
      </c>
      <c r="D82" s="12">
        <v>7</v>
      </c>
      <c r="E82" s="10">
        <f>(C82+(D82/12))/20</f>
        <v>0.9291666666666666</v>
      </c>
      <c r="F82" s="9">
        <f>(E82-E81)/E81</f>
        <v>-0.004464285714285817</v>
      </c>
      <c r="G82">
        <v>8.7287</v>
      </c>
      <c r="H82" s="9">
        <f>(G82-G81)/G81</f>
        <v>0</v>
      </c>
      <c r="I82" s="10">
        <v>0.4773523263888889</v>
      </c>
      <c r="J82" s="9">
        <f>(I82-I81)/I81</f>
        <v>0</v>
      </c>
      <c r="K82" s="10">
        <f>1/E82</f>
        <v>1.0762331838565022</v>
      </c>
    </row>
    <row r="83" spans="1:11" ht="12.75">
      <c r="A83" s="17">
        <v>1552</v>
      </c>
      <c r="B83" s="17" t="s">
        <v>234</v>
      </c>
      <c r="C83">
        <v>17</v>
      </c>
      <c r="D83" s="12">
        <v>8</v>
      </c>
      <c r="E83" s="10">
        <f>(C83+(D83/12))/20</f>
        <v>0.8833333333333334</v>
      </c>
      <c r="F83" s="9">
        <f>(E83-E82)/E82</f>
        <v>-0.049327354260089516</v>
      </c>
      <c r="G83">
        <v>8.7287</v>
      </c>
      <c r="H83" s="9">
        <f>(G83-G82)/G82</f>
        <v>0</v>
      </c>
      <c r="I83" s="10">
        <v>0.4773523263888889</v>
      </c>
      <c r="J83" s="9">
        <f>(I83-I82)/I82</f>
        <v>0</v>
      </c>
      <c r="K83" s="10">
        <f>1/E83</f>
        <v>1.1320754716981132</v>
      </c>
    </row>
    <row r="84" spans="1:11" ht="12.75">
      <c r="A84" s="17"/>
      <c r="B84" s="17" t="s">
        <v>236</v>
      </c>
      <c r="C84">
        <v>17</v>
      </c>
      <c r="D84" s="12">
        <v>7</v>
      </c>
      <c r="E84" s="10">
        <f>(C84+(D84/12))/20</f>
        <v>0.8791666666666667</v>
      </c>
      <c r="F84" s="9">
        <f>(E84-E83)/E83</f>
        <v>-0.00471698113207558</v>
      </c>
      <c r="G84">
        <v>8.7287</v>
      </c>
      <c r="H84" s="9">
        <f>(G84-G83)/G83</f>
        <v>0</v>
      </c>
      <c r="I84" s="10">
        <v>0.4773523263888889</v>
      </c>
      <c r="J84" s="9">
        <f>(I84-I83)/I83</f>
        <v>0</v>
      </c>
      <c r="K84" s="10">
        <f>1/E84</f>
        <v>1.1374407582938388</v>
      </c>
    </row>
    <row r="85" spans="1:11" ht="12.75">
      <c r="A85" s="18"/>
      <c r="B85" s="18" t="s">
        <v>235</v>
      </c>
      <c r="C85" s="20">
        <v>19</v>
      </c>
      <c r="D85" s="21">
        <v>3.5</v>
      </c>
      <c r="E85" s="10">
        <f>(C85+(D85/12))/20</f>
        <v>0.9645833333333333</v>
      </c>
      <c r="F85" s="9">
        <f>(E85-E84)/E84</f>
        <v>0.09715639810426543</v>
      </c>
      <c r="G85">
        <v>8.7287</v>
      </c>
      <c r="H85" s="9">
        <f>(G85-G84)/G84</f>
        <v>0</v>
      </c>
      <c r="I85" s="10">
        <v>0.4773523263888889</v>
      </c>
      <c r="J85" s="9">
        <f>(I85-I84)/I84</f>
        <v>0</v>
      </c>
      <c r="K85" s="10">
        <f>1/E85</f>
        <v>1.036717062634989</v>
      </c>
    </row>
    <row r="86" spans="1:11" ht="12.75">
      <c r="A86" s="17"/>
      <c r="B86" s="17" t="s">
        <v>172</v>
      </c>
      <c r="C86">
        <v>19</v>
      </c>
      <c r="D86" s="12">
        <v>6</v>
      </c>
      <c r="E86" s="10">
        <f>(C86+(D86/12))/20</f>
        <v>0.975</v>
      </c>
      <c r="F86" s="9">
        <f>(E86-E85)/E85</f>
        <v>0.010799136069114432</v>
      </c>
      <c r="G86">
        <v>8.7287</v>
      </c>
      <c r="H86" s="9">
        <f>(G86-G85)/G85</f>
        <v>0</v>
      </c>
      <c r="I86" s="10">
        <v>0.4773523263888889</v>
      </c>
      <c r="J86" s="9">
        <f>(I86-I85)/I85</f>
        <v>0</v>
      </c>
      <c r="K86" s="10">
        <f>1/E86</f>
        <v>1.0256410256410258</v>
      </c>
    </row>
    <row r="87" spans="1:11" ht="12.75">
      <c r="A87" s="17"/>
      <c r="B87" s="17" t="s">
        <v>184</v>
      </c>
      <c r="C87">
        <v>19</v>
      </c>
      <c r="D87" s="12">
        <v>5.5</v>
      </c>
      <c r="E87" s="10">
        <f>(C87+(D87/12))/20</f>
        <v>0.9729166666666667</v>
      </c>
      <c r="F87" s="9">
        <f>(E87-E86)/E86</f>
        <v>-0.002136752136752129</v>
      </c>
      <c r="G87">
        <v>8.7287</v>
      </c>
      <c r="H87" s="9">
        <f>(G87-G86)/G86</f>
        <v>0</v>
      </c>
      <c r="I87" s="10">
        <v>0.4773523263888889</v>
      </c>
      <c r="J87" s="9">
        <f>(I87-I86)/I86</f>
        <v>0</v>
      </c>
      <c r="K87" s="10">
        <f>1/E87</f>
        <v>1.0278372591006424</v>
      </c>
    </row>
    <row r="88" spans="1:11" ht="12.75">
      <c r="A88" s="17">
        <v>1553</v>
      </c>
      <c r="B88" s="17" t="s">
        <v>234</v>
      </c>
      <c r="C88">
        <v>19</v>
      </c>
      <c r="D88" s="12">
        <v>5.5</v>
      </c>
      <c r="E88" s="10">
        <f>(C88+(D88/12))/20</f>
        <v>0.9729166666666667</v>
      </c>
      <c r="F88" s="9">
        <f>(E88-E87)/E87</f>
        <v>0</v>
      </c>
      <c r="G88">
        <v>8.7287</v>
      </c>
      <c r="H88" s="9">
        <f>(G88-G87)/G87</f>
        <v>0</v>
      </c>
      <c r="I88" s="10">
        <v>0.4773523263888889</v>
      </c>
      <c r="J88" s="9">
        <f>(I88-I87)/I87</f>
        <v>0</v>
      </c>
      <c r="K88" s="10">
        <f>1/E88</f>
        <v>1.0278372591006424</v>
      </c>
    </row>
    <row r="89" spans="1:11" ht="12.75">
      <c r="A89" s="17"/>
      <c r="B89" s="17" t="s">
        <v>193</v>
      </c>
      <c r="C89">
        <v>19</v>
      </c>
      <c r="D89" s="12">
        <v>11.5</v>
      </c>
      <c r="E89" s="10">
        <f>(C89+(D89/12))/20</f>
        <v>0.9979166666666666</v>
      </c>
      <c r="F89" s="9">
        <f>(E89-E88)/E88</f>
        <v>0.02569593147751597</v>
      </c>
      <c r="G89">
        <v>8.7287</v>
      </c>
      <c r="H89" s="9">
        <f>(G89-G88)/G88</f>
        <v>0</v>
      </c>
      <c r="I89" s="10">
        <v>0.4773523263888889</v>
      </c>
      <c r="J89" s="9">
        <f>(I89-I88)/I88</f>
        <v>0</v>
      </c>
      <c r="K89" s="10">
        <f>1/E89</f>
        <v>1.002087682672234</v>
      </c>
    </row>
    <row r="90" spans="1:11" ht="12.75">
      <c r="A90" s="17"/>
      <c r="B90" s="17" t="s">
        <v>170</v>
      </c>
      <c r="C90">
        <v>20</v>
      </c>
      <c r="D90" s="12">
        <v>2</v>
      </c>
      <c r="E90" s="10">
        <f>(C90+(D90/12))/20</f>
        <v>1.0083333333333333</v>
      </c>
      <c r="F90" s="9">
        <f>(E90-E89)/E89</f>
        <v>0.010438413361169177</v>
      </c>
      <c r="G90">
        <v>8.7287</v>
      </c>
      <c r="H90" s="9">
        <f>(G90-G89)/G89</f>
        <v>0</v>
      </c>
      <c r="I90" s="10">
        <v>0.4773523263888889</v>
      </c>
      <c r="J90" s="9">
        <f>(I90-I89)/I89</f>
        <v>0</v>
      </c>
      <c r="K90" s="10">
        <f>1/E90</f>
        <v>0.9917355371900827</v>
      </c>
    </row>
    <row r="91" spans="1:11" ht="12.75">
      <c r="A91" s="17"/>
      <c r="B91" s="17" t="s">
        <v>172</v>
      </c>
      <c r="C91">
        <v>22</v>
      </c>
      <c r="D91" s="12">
        <v>5.5</v>
      </c>
      <c r="E91" s="10">
        <f>(C91+(D91/12))/20</f>
        <v>1.1229166666666666</v>
      </c>
      <c r="F91" s="9">
        <f>(E91-E90)/E90</f>
        <v>0.11363636363636356</v>
      </c>
      <c r="G91">
        <v>8.7684</v>
      </c>
      <c r="H91" s="9">
        <f>(G91-G90)/G90</f>
        <v>0.00454821451075187</v>
      </c>
      <c r="I91" s="10">
        <v>0.47519236111111113</v>
      </c>
      <c r="J91" s="9">
        <f>(I91-I90)/I90</f>
        <v>-0.004524886877828073</v>
      </c>
      <c r="K91" s="10">
        <f>1/E91</f>
        <v>0.8905380333951763</v>
      </c>
    </row>
    <row r="92" spans="1:11" ht="12.75">
      <c r="A92" s="17">
        <v>1554</v>
      </c>
      <c r="B92" s="17" t="s">
        <v>234</v>
      </c>
      <c r="C92">
        <v>20</v>
      </c>
      <c r="D92" s="12">
        <v>11.5</v>
      </c>
      <c r="E92" s="10">
        <f>(C92+(D92/12))/20</f>
        <v>1.0479166666666666</v>
      </c>
      <c r="F92" s="9">
        <f>(E92-E91)/E91</f>
        <v>-0.06679035250463819</v>
      </c>
      <c r="G92">
        <v>8.7684</v>
      </c>
      <c r="H92" s="9">
        <f>(G92-G91)/G91</f>
        <v>0</v>
      </c>
      <c r="I92" s="10">
        <v>0.4752</v>
      </c>
      <c r="J92" s="9">
        <f>(I92-I91)/I91</f>
        <v>1.6075361293733572E-05</v>
      </c>
      <c r="K92" s="10">
        <f>1/E92</f>
        <v>0.9542743538767396</v>
      </c>
    </row>
    <row r="93" spans="1:11" ht="12.75">
      <c r="A93" s="17"/>
      <c r="B93" s="17" t="s">
        <v>193</v>
      </c>
      <c r="C93">
        <v>22</v>
      </c>
      <c r="D93" s="12">
        <v>5.5</v>
      </c>
      <c r="E93" s="10">
        <f>(C93+(D93/12))/20</f>
        <v>1.1229166666666666</v>
      </c>
      <c r="F93" s="9">
        <f>(E93-E92)/E92</f>
        <v>0.07157057654075542</v>
      </c>
      <c r="G93">
        <v>8.7684</v>
      </c>
      <c r="H93" s="9">
        <f>(G93-G92)/G92</f>
        <v>0</v>
      </c>
      <c r="I93" s="10">
        <v>0.4752</v>
      </c>
      <c r="J93" s="9">
        <f>(I93-I92)/I92</f>
        <v>0</v>
      </c>
      <c r="K93" s="10">
        <f>1/E93</f>
        <v>0.8905380333951763</v>
      </c>
    </row>
    <row r="94" spans="1:11" ht="12.75">
      <c r="A94" s="17"/>
      <c r="B94" s="17" t="s">
        <v>184</v>
      </c>
      <c r="C94">
        <v>21</v>
      </c>
      <c r="D94" s="12">
        <v>7.5</v>
      </c>
      <c r="E94" s="10">
        <f>(C94+(D94/12))/20</f>
        <v>1.08125</v>
      </c>
      <c r="F94" s="9">
        <f>(E94-E93)/E93</f>
        <v>-0.03710575139146555</v>
      </c>
      <c r="G94">
        <v>8.7684</v>
      </c>
      <c r="H94" s="9">
        <f>(G94-G93)/G93</f>
        <v>0</v>
      </c>
      <c r="I94" s="10">
        <v>0.4752</v>
      </c>
      <c r="J94" s="9">
        <f>(I94-I93)/I93</f>
        <v>0</v>
      </c>
      <c r="K94" s="10">
        <f>1/E94</f>
        <v>0.9248554913294798</v>
      </c>
    </row>
    <row r="95" spans="1:11" ht="12.75">
      <c r="A95" s="17">
        <v>1555</v>
      </c>
      <c r="B95" s="17" t="s">
        <v>235</v>
      </c>
      <c r="C95">
        <v>21</v>
      </c>
      <c r="D95" s="12">
        <v>5.5</v>
      </c>
      <c r="E95" s="10">
        <f>(C95+(D95/12))/20</f>
        <v>1.0729166666666665</v>
      </c>
      <c r="F95" s="9">
        <f>(E95-E94)/E94</f>
        <v>-0.007707129094412509</v>
      </c>
      <c r="G95">
        <v>8.7684</v>
      </c>
      <c r="H95" s="9">
        <f>(G95-G94)/G94</f>
        <v>0</v>
      </c>
      <c r="I95" s="10">
        <v>0.4752</v>
      </c>
      <c r="J95" s="9">
        <f>(I95-I94)/I94</f>
        <v>0</v>
      </c>
      <c r="K95" s="10">
        <f>1/E95</f>
        <v>0.9320388349514565</v>
      </c>
    </row>
    <row r="96" spans="1:11" ht="12.75">
      <c r="A96" s="17"/>
      <c r="B96" s="17" t="s">
        <v>254</v>
      </c>
      <c r="C96">
        <v>21</v>
      </c>
      <c r="D96" s="12">
        <v>3.5</v>
      </c>
      <c r="E96" s="10">
        <f>(C96+(D96/12))/20</f>
        <v>1.0645833333333334</v>
      </c>
      <c r="F96" s="9">
        <f>(E96-E95)/E95</f>
        <v>-0.007766990291261902</v>
      </c>
      <c r="G96">
        <v>8.7684</v>
      </c>
      <c r="H96" s="9">
        <f>(G96-G95)/G95</f>
        <v>0</v>
      </c>
      <c r="I96" s="10">
        <v>0.4752</v>
      </c>
      <c r="J96" s="9">
        <f>(I96-I95)/I95</f>
        <v>0</v>
      </c>
      <c r="K96" s="10">
        <f>1/E96</f>
        <v>0.9393346379647749</v>
      </c>
    </row>
    <row r="97" spans="1:11" ht="12.75">
      <c r="A97" s="17"/>
      <c r="B97" s="17" t="s">
        <v>184</v>
      </c>
      <c r="C97">
        <v>21</v>
      </c>
      <c r="D97" s="12">
        <v>9.5</v>
      </c>
      <c r="E97" s="10">
        <f>(C97+(D97/12))/20</f>
        <v>1.0895833333333333</v>
      </c>
      <c r="F97" s="9">
        <f>(E97-E96)/E96</f>
        <v>0.02348336594911929</v>
      </c>
      <c r="G97">
        <v>8.7684</v>
      </c>
      <c r="H97" s="9">
        <f>(G97-G96)/G96</f>
        <v>0</v>
      </c>
      <c r="I97" s="10">
        <v>0.4752</v>
      </c>
      <c r="J97" s="9">
        <f>(I97-I96)/I96</f>
        <v>0</v>
      </c>
      <c r="K97" s="10">
        <f>1/E97</f>
        <v>0.9177820267686424</v>
      </c>
    </row>
    <row r="98" spans="1:11" ht="12.75">
      <c r="A98" s="17">
        <v>1556</v>
      </c>
      <c r="B98" s="17" t="s">
        <v>244</v>
      </c>
      <c r="C98">
        <v>21</v>
      </c>
      <c r="D98" s="12">
        <v>7.5</v>
      </c>
      <c r="E98" s="10">
        <f>(C98+(D98/12))/20</f>
        <v>1.08125</v>
      </c>
      <c r="F98" s="9">
        <f>(E98-E97)/E97</f>
        <v>-0.0076481835564053266</v>
      </c>
      <c r="G98">
        <v>8.7684</v>
      </c>
      <c r="H98" s="9">
        <f>(G98-G97)/G97</f>
        <v>0</v>
      </c>
      <c r="I98" s="10">
        <v>0.4752</v>
      </c>
      <c r="J98" s="9">
        <f>(I98-I97)/I97</f>
        <v>0</v>
      </c>
      <c r="K98" s="10">
        <f>1/E98</f>
        <v>0.9248554913294798</v>
      </c>
    </row>
    <row r="99" spans="1:11" ht="12.75">
      <c r="A99" s="17"/>
      <c r="B99" s="17" t="s">
        <v>236</v>
      </c>
      <c r="C99">
        <v>22</v>
      </c>
      <c r="D99" s="12">
        <v>6</v>
      </c>
      <c r="E99" s="10">
        <f>(C99+(D99/12))/20</f>
        <v>1.125</v>
      </c>
      <c r="F99" s="9">
        <f>(E99-E98)/E98</f>
        <v>0.0404624277456647</v>
      </c>
      <c r="G99">
        <v>8.7684</v>
      </c>
      <c r="H99" s="9">
        <f>(G99-G98)/G98</f>
        <v>0</v>
      </c>
      <c r="I99" s="10">
        <v>0.4752</v>
      </c>
      <c r="J99" s="9">
        <f>(I99-I98)/I98</f>
        <v>0</v>
      </c>
      <c r="K99" s="10">
        <f>1/E99</f>
        <v>0.8888888888888888</v>
      </c>
    </row>
    <row r="100" spans="1:11" ht="12.75">
      <c r="A100" s="17">
        <v>1557</v>
      </c>
      <c r="B100" s="17" t="s">
        <v>234</v>
      </c>
      <c r="C100">
        <v>20</v>
      </c>
      <c r="D100" s="12">
        <v>3</v>
      </c>
      <c r="E100" s="10">
        <f>(C100+(D100/12))/20</f>
        <v>1.0125</v>
      </c>
      <c r="F100" s="9">
        <f>(E100-E99)/E99</f>
        <v>-0.10000000000000003</v>
      </c>
      <c r="G100">
        <v>8.7684</v>
      </c>
      <c r="H100" s="9">
        <f>(G100-G99)/G99</f>
        <v>0</v>
      </c>
      <c r="I100" s="10">
        <v>0.4752</v>
      </c>
      <c r="J100" s="9">
        <f>(I100-I99)/I99</f>
        <v>0</v>
      </c>
      <c r="K100" s="10">
        <f>1/E100</f>
        <v>0.9876543209876544</v>
      </c>
    </row>
    <row r="101" spans="1:11" ht="12.75">
      <c r="A101" s="17">
        <v>1558</v>
      </c>
      <c r="B101" s="17" t="s">
        <v>244</v>
      </c>
      <c r="C101">
        <v>21</v>
      </c>
      <c r="D101" s="12">
        <v>6.5</v>
      </c>
      <c r="E101" s="10">
        <f>(C101+(D101/12))/20</f>
        <v>1.0770833333333334</v>
      </c>
      <c r="F101" s="9">
        <f>(E101-E100)/E100</f>
        <v>0.06378600823045277</v>
      </c>
      <c r="G101">
        <v>8.7684</v>
      </c>
      <c r="H101" s="9">
        <f>(G101-G100)/G100</f>
        <v>0</v>
      </c>
      <c r="I101" s="10">
        <v>0.4752</v>
      </c>
      <c r="J101" s="9">
        <f>(I101-I100)/I100</f>
        <v>0</v>
      </c>
      <c r="K101" s="10">
        <f>1/E101</f>
        <v>0.9284332688588007</v>
      </c>
    </row>
    <row r="102" spans="1:11" ht="12.75">
      <c r="A102" s="17"/>
      <c r="B102" s="17" t="s">
        <v>170</v>
      </c>
      <c r="C102">
        <v>21</v>
      </c>
      <c r="D102" s="12">
        <v>8.5</v>
      </c>
      <c r="E102" s="10">
        <f>(C102+(D102/12))/20</f>
        <v>1.0854166666666667</v>
      </c>
      <c r="F102" s="9">
        <f>(E102-E101)/E101</f>
        <v>0.007736943907156645</v>
      </c>
      <c r="G102">
        <v>8.7684</v>
      </c>
      <c r="H102" s="9">
        <f>(G102-G101)/G101</f>
        <v>0</v>
      </c>
      <c r="I102" s="10">
        <v>0.4752</v>
      </c>
      <c r="J102" s="9">
        <f>(I102-I101)/I101</f>
        <v>0</v>
      </c>
      <c r="K102" s="10">
        <f>1/E102</f>
        <v>0.9213051823416506</v>
      </c>
    </row>
    <row r="103" spans="1:11" ht="12.75">
      <c r="A103" s="17"/>
      <c r="B103" s="17" t="s">
        <v>236</v>
      </c>
      <c r="C103">
        <v>22</v>
      </c>
      <c r="D103" s="12">
        <v>0</v>
      </c>
      <c r="E103" s="10">
        <f>(C103+(D103/12))/20</f>
        <v>1.1</v>
      </c>
      <c r="F103" s="9">
        <f>(E103-E102)/E102</f>
        <v>0.013435700575815793</v>
      </c>
      <c r="G103">
        <v>8.7684</v>
      </c>
      <c r="H103" s="9">
        <f>(G103-G102)/G102</f>
        <v>0</v>
      </c>
      <c r="I103" s="10">
        <v>0.4752</v>
      </c>
      <c r="J103" s="9">
        <f>(I103-I102)/I102</f>
        <v>0</v>
      </c>
      <c r="K103" s="10">
        <f>1/E103</f>
        <v>0.9090909090909091</v>
      </c>
    </row>
    <row r="104" spans="1:11" ht="12.75">
      <c r="A104" s="17"/>
      <c r="B104" s="17" t="s">
        <v>253</v>
      </c>
      <c r="C104">
        <v>22</v>
      </c>
      <c r="D104" s="12">
        <v>3.5</v>
      </c>
      <c r="E104" s="10">
        <f>(C104+(D104/12))/20</f>
        <v>1.1145833333333335</v>
      </c>
      <c r="F104" s="9">
        <f>(E104-E103)/E103</f>
        <v>0.01325757575757581</v>
      </c>
      <c r="G104">
        <v>8.7684</v>
      </c>
      <c r="H104" s="9">
        <f>(G104-G103)/G103</f>
        <v>0</v>
      </c>
      <c r="I104" s="10">
        <v>0.4752</v>
      </c>
      <c r="J104" s="9">
        <f>(I104-I103)/I103</f>
        <v>0</v>
      </c>
      <c r="K104" s="10">
        <f>1/E104</f>
        <v>0.8971962616822429</v>
      </c>
    </row>
    <row r="105" spans="1:11" ht="12.75">
      <c r="A105" s="17">
        <v>1559</v>
      </c>
      <c r="B105" s="17" t="s">
        <v>244</v>
      </c>
      <c r="C105">
        <v>21</v>
      </c>
      <c r="D105" s="12">
        <v>10</v>
      </c>
      <c r="E105" s="10">
        <f>(C105+(D105/12))/20</f>
        <v>1.0916666666666666</v>
      </c>
      <c r="F105" s="9">
        <f>(E105-E104)/E104</f>
        <v>-0.020560747663551624</v>
      </c>
      <c r="G105">
        <v>8.7684</v>
      </c>
      <c r="H105" s="9">
        <f>(G105-G104)/G104</f>
        <v>0</v>
      </c>
      <c r="I105" s="10">
        <v>0.4752</v>
      </c>
      <c r="J105" s="9">
        <f>(I105-I104)/I104</f>
        <v>0</v>
      </c>
      <c r="K105" s="10">
        <f>1/E105</f>
        <v>0.9160305343511451</v>
      </c>
    </row>
    <row r="106" spans="1:11" ht="12.75">
      <c r="A106" s="17"/>
      <c r="B106" s="17" t="s">
        <v>280</v>
      </c>
      <c r="C106">
        <v>22</v>
      </c>
      <c r="D106" s="12">
        <v>3</v>
      </c>
      <c r="E106" s="10">
        <f>(C106+(D106/12))/20</f>
        <v>1.1125</v>
      </c>
      <c r="F106" s="9">
        <f>(E106-E105)/E105</f>
        <v>0.01908396946564899</v>
      </c>
      <c r="G106">
        <v>8.7684</v>
      </c>
      <c r="H106" s="9">
        <f>(G106-G105)/G105</f>
        <v>0</v>
      </c>
      <c r="I106" s="10">
        <v>0.4752</v>
      </c>
      <c r="J106" s="9">
        <f>(I106-I105)/I105</f>
        <v>0</v>
      </c>
      <c r="K106" s="10">
        <f>1/E106</f>
        <v>0.898876404494382</v>
      </c>
    </row>
    <row r="107" spans="1:11" ht="12.75">
      <c r="A107" s="17"/>
      <c r="B107" s="17" t="s">
        <v>254</v>
      </c>
      <c r="C107">
        <v>22</v>
      </c>
      <c r="D107" s="12">
        <v>3</v>
      </c>
      <c r="E107" s="10">
        <f>(C107+(D107/12))/20</f>
        <v>1.1125</v>
      </c>
      <c r="F107" s="9">
        <f>(E107-E106)/E106</f>
        <v>0</v>
      </c>
      <c r="G107">
        <v>8.7684</v>
      </c>
      <c r="H107" s="9">
        <f>(G107-G106)/G106</f>
        <v>0</v>
      </c>
      <c r="I107" s="10">
        <v>0.4752</v>
      </c>
      <c r="J107" s="9">
        <f>(I107-I106)/I106</f>
        <v>0</v>
      </c>
      <c r="K107" s="10">
        <f>1/E107</f>
        <v>0.898876404494382</v>
      </c>
    </row>
    <row r="108" spans="1:11" ht="12.75">
      <c r="A108" s="17">
        <v>1560</v>
      </c>
      <c r="B108" s="17" t="s">
        <v>234</v>
      </c>
      <c r="C108">
        <v>22</v>
      </c>
      <c r="D108" s="12">
        <v>2.5</v>
      </c>
      <c r="E108" s="10">
        <f>(C108+(D108/12))/20</f>
        <v>1.1104166666666666</v>
      </c>
      <c r="F108" s="9">
        <f>(E108-E107)/E107</f>
        <v>-0.0018726591760300556</v>
      </c>
      <c r="G108">
        <v>8.7684</v>
      </c>
      <c r="H108" s="9">
        <f>(G108-G107)/G107</f>
        <v>0</v>
      </c>
      <c r="I108" s="10">
        <v>0.4752</v>
      </c>
      <c r="J108" s="9">
        <f>(I108-I107)/I107</f>
        <v>0</v>
      </c>
      <c r="K108" s="10">
        <f>1/E108</f>
        <v>0.9005628517823641</v>
      </c>
    </row>
    <row r="109" spans="1:11" ht="12.75">
      <c r="A109" s="17"/>
      <c r="B109" s="17" t="s">
        <v>193</v>
      </c>
      <c r="C109">
        <v>22</v>
      </c>
      <c r="D109" s="12">
        <v>2.5</v>
      </c>
      <c r="E109" s="10">
        <f>(C109+(D109/12))/20</f>
        <v>1.1104166666666666</v>
      </c>
      <c r="F109" s="9">
        <f>(E109-E108)/E108</f>
        <v>0</v>
      </c>
      <c r="G109">
        <v>8.7684</v>
      </c>
      <c r="H109" s="9">
        <f>(G109-G108)/G108</f>
        <v>0</v>
      </c>
      <c r="I109" s="10">
        <v>0.4752</v>
      </c>
      <c r="J109" s="9">
        <f>(I109-I108)/I108</f>
        <v>0</v>
      </c>
      <c r="K109" s="10">
        <f>1/E109</f>
        <v>0.9005628517823641</v>
      </c>
    </row>
    <row r="110" spans="1:11" ht="12.75">
      <c r="A110" s="17"/>
      <c r="B110" s="17" t="s">
        <v>244</v>
      </c>
      <c r="C110">
        <v>22</v>
      </c>
      <c r="D110" s="12">
        <v>6</v>
      </c>
      <c r="E110" s="10">
        <f>(C110+(D110/12))/20</f>
        <v>1.125</v>
      </c>
      <c r="F110" s="9">
        <f>(E110-E109)/E109</f>
        <v>0.01313320825515953</v>
      </c>
      <c r="G110">
        <v>8.7684</v>
      </c>
      <c r="H110" s="9">
        <f>(G110-G109)/G109</f>
        <v>0</v>
      </c>
      <c r="I110" s="10">
        <v>0.4752</v>
      </c>
      <c r="J110" s="9">
        <f>(I110-I109)/I109</f>
        <v>0</v>
      </c>
      <c r="K110" s="10">
        <f>1/E110</f>
        <v>0.8888888888888888</v>
      </c>
    </row>
    <row r="111" spans="1:11" ht="12.75">
      <c r="A111" s="17"/>
      <c r="B111" s="17" t="s">
        <v>170</v>
      </c>
      <c r="C111">
        <v>23</v>
      </c>
      <c r="D111" s="12">
        <v>0.5</v>
      </c>
      <c r="E111" s="10">
        <f>(C111+(D111/12))/20</f>
        <v>1.1520833333333333</v>
      </c>
      <c r="F111" s="9">
        <f>(E111-E110)/E110</f>
        <v>0.024074074074074088</v>
      </c>
      <c r="G111">
        <v>8.7684</v>
      </c>
      <c r="H111" s="9">
        <f>(G111-G110)/G110</f>
        <v>0</v>
      </c>
      <c r="I111" s="10">
        <v>0.4752</v>
      </c>
      <c r="J111" s="9">
        <f>(I111-I110)/I110</f>
        <v>0</v>
      </c>
      <c r="K111" s="10">
        <f>1/E111</f>
        <v>0.8679927667269439</v>
      </c>
    </row>
    <row r="112" spans="1:11" ht="12.75">
      <c r="A112" s="17"/>
      <c r="B112" s="17" t="s">
        <v>245</v>
      </c>
      <c r="C112">
        <v>23</v>
      </c>
      <c r="D112" s="12">
        <v>2.5</v>
      </c>
      <c r="E112" s="10">
        <f>(C112+(D112/12))/20</f>
        <v>1.1604166666666667</v>
      </c>
      <c r="F112" s="9">
        <f>(E112-E111)/E111</f>
        <v>0.007233273056057841</v>
      </c>
      <c r="G112">
        <v>8.7684</v>
      </c>
      <c r="H112" s="9">
        <f>(G112-G111)/G111</f>
        <v>0</v>
      </c>
      <c r="I112" s="10">
        <v>0.4752</v>
      </c>
      <c r="J112" s="9">
        <f>(I112-I111)/I111</f>
        <v>0</v>
      </c>
      <c r="K112" s="10">
        <f>1/E112</f>
        <v>0.8617594254937163</v>
      </c>
    </row>
    <row r="113" spans="1:11" ht="12.75">
      <c r="A113" s="17"/>
      <c r="B113" s="17" t="s">
        <v>236</v>
      </c>
      <c r="C113">
        <v>22</v>
      </c>
      <c r="D113" s="12">
        <v>10</v>
      </c>
      <c r="E113" s="10">
        <f>(C113+(D113/12))/20</f>
        <v>1.1416666666666666</v>
      </c>
      <c r="F113" s="9">
        <f>(E113-E112)/E112</f>
        <v>-0.01615798922800722</v>
      </c>
      <c r="G113">
        <v>8.7684</v>
      </c>
      <c r="H113" s="9">
        <f>(G113-G112)/G112</f>
        <v>0</v>
      </c>
      <c r="I113" s="10">
        <v>0.4752</v>
      </c>
      <c r="J113" s="9">
        <f>(I113-I112)/I112</f>
        <v>0</v>
      </c>
      <c r="K113" s="10">
        <f>1/E113</f>
        <v>0.8759124087591241</v>
      </c>
    </row>
    <row r="114" spans="1:11" ht="12.75">
      <c r="A114" s="17"/>
      <c r="B114" s="17" t="s">
        <v>235</v>
      </c>
      <c r="C114">
        <v>22</v>
      </c>
      <c r="D114" s="12">
        <v>6</v>
      </c>
      <c r="E114" s="10">
        <f>(C114+(D114/12))/20</f>
        <v>1.125</v>
      </c>
      <c r="F114" s="9">
        <f>(E114-E113)/E113</f>
        <v>-0.01459854014598535</v>
      </c>
      <c r="G114">
        <v>8.7684</v>
      </c>
      <c r="H114" s="9">
        <f>(G114-G113)/G113</f>
        <v>0</v>
      </c>
      <c r="I114" s="10">
        <v>0.4752</v>
      </c>
      <c r="J114" s="9">
        <f>(I114-I113)/I113</f>
        <v>0</v>
      </c>
      <c r="K114" s="10">
        <f>1/E114</f>
        <v>0.8888888888888888</v>
      </c>
    </row>
    <row r="115" spans="1:11" ht="12.75">
      <c r="A115" s="17"/>
      <c r="B115" s="17" t="s">
        <v>172</v>
      </c>
      <c r="C115">
        <v>22</v>
      </c>
      <c r="D115" s="12">
        <v>6</v>
      </c>
      <c r="E115" s="10">
        <f>(C115+(D115/12))/20</f>
        <v>1.125</v>
      </c>
      <c r="F115" s="9">
        <f>(E115-E114)/E114</f>
        <v>0</v>
      </c>
      <c r="G115">
        <v>8.7684</v>
      </c>
      <c r="H115" s="9">
        <f>(G115-G114)/G114</f>
        <v>0</v>
      </c>
      <c r="I115" s="10">
        <v>0.4752</v>
      </c>
      <c r="J115" s="9">
        <f>(I115-I114)/I114</f>
        <v>0</v>
      </c>
      <c r="K115" s="10">
        <f>1/E115</f>
        <v>0.8888888888888888</v>
      </c>
    </row>
    <row r="116" spans="1:11" ht="12.75">
      <c r="A116" s="17"/>
      <c r="B116" s="17" t="s">
        <v>280</v>
      </c>
      <c r="C116">
        <v>22</v>
      </c>
      <c r="D116" s="12">
        <v>6</v>
      </c>
      <c r="E116" s="10">
        <f>(C116+(D116/12))/20</f>
        <v>1.125</v>
      </c>
      <c r="F116" s="9">
        <f>(E116-E115)/E115</f>
        <v>0</v>
      </c>
      <c r="G116">
        <v>8.7684</v>
      </c>
      <c r="H116" s="9">
        <f>(G116-G115)/G115</f>
        <v>0</v>
      </c>
      <c r="I116" s="10">
        <v>0.4752</v>
      </c>
      <c r="J116" s="9">
        <f>(I116-I115)/I115</f>
        <v>0</v>
      </c>
      <c r="K116" s="10">
        <f>1/E116</f>
        <v>0.8888888888888888</v>
      </c>
    </row>
    <row r="117" spans="1:11" ht="12.75">
      <c r="A117" s="17"/>
      <c r="B117" s="17" t="s">
        <v>254</v>
      </c>
      <c r="C117">
        <v>23</v>
      </c>
      <c r="D117" s="12">
        <v>2.5</v>
      </c>
      <c r="E117" s="10">
        <f>(C117+(D117/12))/20</f>
        <v>1.1604166666666667</v>
      </c>
      <c r="F117" s="9">
        <f>(E117-E116)/E116</f>
        <v>0.03148148148148147</v>
      </c>
      <c r="G117">
        <v>8.7684</v>
      </c>
      <c r="H117" s="9">
        <f>(G117-G116)/G116</f>
        <v>0</v>
      </c>
      <c r="I117" s="10">
        <v>0.4752</v>
      </c>
      <c r="J117" s="9">
        <f>(I117-I116)/I116</f>
        <v>0</v>
      </c>
      <c r="K117" s="10">
        <f>1/E117</f>
        <v>0.8617594254937163</v>
      </c>
    </row>
    <row r="118" spans="1:11" ht="12.75">
      <c r="A118" s="17"/>
      <c r="B118" s="17" t="s">
        <v>253</v>
      </c>
      <c r="C118">
        <v>23</v>
      </c>
      <c r="D118" s="12">
        <v>0</v>
      </c>
      <c r="E118" s="10">
        <f>(C118+(D118/12))/20</f>
        <v>1.15</v>
      </c>
      <c r="F118" s="9">
        <f>(E118-E117)/E117</f>
        <v>-0.008976660682226276</v>
      </c>
      <c r="G118">
        <v>8.6894</v>
      </c>
      <c r="H118" s="9">
        <f>(G118-G117)/G117</f>
        <v>-0.009009625473290523</v>
      </c>
      <c r="I118" s="10">
        <v>0.4795</v>
      </c>
      <c r="J118" s="9">
        <f>(I118-I117)/I117</f>
        <v>0.009048821548821487</v>
      </c>
      <c r="K118" s="10">
        <f>1/E118</f>
        <v>0.8695652173913044</v>
      </c>
    </row>
    <row r="119" spans="1:11" ht="12.75">
      <c r="A119" s="17"/>
      <c r="B119" s="17" t="s">
        <v>184</v>
      </c>
      <c r="C119">
        <v>22</v>
      </c>
      <c r="D119" s="12">
        <v>4</v>
      </c>
      <c r="E119" s="10">
        <f>(C119+(D119/12))/20</f>
        <v>1.1166666666666667</v>
      </c>
      <c r="F119" s="9">
        <f>(E119-E118)/E118</f>
        <v>-0.02898550724637671</v>
      </c>
      <c r="G119">
        <v>8.6894</v>
      </c>
      <c r="H119" s="9">
        <f>(G119-G118)/G118</f>
        <v>0</v>
      </c>
      <c r="I119" s="10">
        <v>0.4795</v>
      </c>
      <c r="J119" s="9">
        <f>(I119-I118)/I118</f>
        <v>0</v>
      </c>
      <c r="K119" s="10">
        <f>1/E119</f>
        <v>0.8955223880597015</v>
      </c>
    </row>
    <row r="120" spans="1:11" ht="12.75">
      <c r="A120" s="17">
        <v>1561</v>
      </c>
      <c r="B120" s="17" t="s">
        <v>234</v>
      </c>
      <c r="C120">
        <v>20</v>
      </c>
      <c r="D120" s="12">
        <v>6.5</v>
      </c>
      <c r="E120" s="10">
        <f>(C120+(D120/12))/20</f>
        <v>1.0270833333333333</v>
      </c>
      <c r="F120" s="9">
        <f>(E120-E119)/E119</f>
        <v>-0.08022388059701493</v>
      </c>
      <c r="G120">
        <v>8.6894</v>
      </c>
      <c r="H120" s="9">
        <f>(G120-G119)/G119</f>
        <v>0</v>
      </c>
      <c r="I120" s="10">
        <v>0.4795</v>
      </c>
      <c r="J120" s="9">
        <f>(I120-I119)/I119</f>
        <v>0</v>
      </c>
      <c r="K120" s="10">
        <f>1/E120</f>
        <v>0.973630831643002</v>
      </c>
    </row>
    <row r="121" spans="1:11" ht="12.75">
      <c r="A121" s="17"/>
      <c r="B121" s="17" t="s">
        <v>244</v>
      </c>
      <c r="C121">
        <v>22</v>
      </c>
      <c r="D121" s="12">
        <v>2</v>
      </c>
      <c r="E121" s="10">
        <f>(C121+(D121/12))/20</f>
        <v>1.1083333333333334</v>
      </c>
      <c r="F121" s="9">
        <f>(E121-E120)/E120</f>
        <v>0.07910750507099396</v>
      </c>
      <c r="G121">
        <v>8.6894</v>
      </c>
      <c r="H121" s="9">
        <f>(G121-G120)/G120</f>
        <v>0</v>
      </c>
      <c r="I121" s="10">
        <v>0.4795</v>
      </c>
      <c r="J121" s="9">
        <f>(I121-I120)/I120</f>
        <v>0</v>
      </c>
      <c r="K121" s="10">
        <f>1/E121</f>
        <v>0.9022556390977443</v>
      </c>
    </row>
    <row r="122" spans="1:11" ht="12.75">
      <c r="A122" s="17"/>
      <c r="B122" s="17" t="s">
        <v>170</v>
      </c>
      <c r="C122">
        <v>22</v>
      </c>
      <c r="D122" s="12">
        <v>1</v>
      </c>
      <c r="E122" s="10">
        <f>(C122+(D122/12))/20</f>
        <v>1.1041666666666665</v>
      </c>
      <c r="F122" s="9">
        <f>(E122-E121)/E121</f>
        <v>-0.003759398496240788</v>
      </c>
      <c r="G122">
        <v>8.6894</v>
      </c>
      <c r="H122" s="9">
        <f>(G122-G121)/G121</f>
        <v>0</v>
      </c>
      <c r="I122" s="10">
        <v>0.4795</v>
      </c>
      <c r="J122" s="9">
        <f>(I122-I121)/I121</f>
        <v>0</v>
      </c>
      <c r="K122" s="10">
        <f>1/E122</f>
        <v>0.9056603773584907</v>
      </c>
    </row>
    <row r="123" spans="1:11" ht="12.75">
      <c r="A123" s="17"/>
      <c r="B123" s="17" t="s">
        <v>245</v>
      </c>
      <c r="C123">
        <v>21</v>
      </c>
      <c r="D123" s="12">
        <v>11.5</v>
      </c>
      <c r="E123" s="10">
        <f>(C123+(D123/12))/20</f>
        <v>1.0979166666666667</v>
      </c>
      <c r="F123" s="9">
        <f>(E123-E122)/E122</f>
        <v>-0.005660377358490446</v>
      </c>
      <c r="G123">
        <v>8.6894</v>
      </c>
      <c r="H123" s="9">
        <f>(G123-G122)/G122</f>
        <v>0</v>
      </c>
      <c r="I123" s="10">
        <v>0.4795</v>
      </c>
      <c r="J123" s="9">
        <f>(I123-I122)/I122</f>
        <v>0</v>
      </c>
      <c r="K123" s="10">
        <f>1/E123</f>
        <v>0.9108159392789374</v>
      </c>
    </row>
    <row r="124" spans="1:11" ht="12.75">
      <c r="A124" s="17"/>
      <c r="B124" s="17" t="s">
        <v>235</v>
      </c>
      <c r="C124">
        <v>23</v>
      </c>
      <c r="D124" s="12">
        <v>1</v>
      </c>
      <c r="E124" s="10">
        <f>(C124+(D124/12))/20</f>
        <v>1.1541666666666666</v>
      </c>
      <c r="F124" s="9">
        <f>(E124-E123)/E123</f>
        <v>0.05123339658444015</v>
      </c>
      <c r="G124">
        <v>8.6894</v>
      </c>
      <c r="H124" s="9">
        <f>(G124-G123)/G123</f>
        <v>0</v>
      </c>
      <c r="I124" s="10">
        <v>0.4795</v>
      </c>
      <c r="J124" s="9">
        <f>(I124-I123)/I123</f>
        <v>0</v>
      </c>
      <c r="K124" s="10">
        <f>1/E124</f>
        <v>0.8664259927797835</v>
      </c>
    </row>
    <row r="125" spans="1:11" ht="12.75">
      <c r="A125" s="17"/>
      <c r="B125" s="17" t="s">
        <v>172</v>
      </c>
      <c r="C125">
        <v>22</v>
      </c>
      <c r="D125" s="12">
        <v>9</v>
      </c>
      <c r="E125" s="10">
        <f>(C125+(D125/12))/20</f>
        <v>1.1375</v>
      </c>
      <c r="F125" s="9">
        <f>(E125-E124)/E124</f>
        <v>-0.01444043321299634</v>
      </c>
      <c r="G125">
        <v>8.6894</v>
      </c>
      <c r="H125" s="9">
        <f>(G125-G124)/G124</f>
        <v>0</v>
      </c>
      <c r="I125" s="10">
        <v>0.4795</v>
      </c>
      <c r="J125" s="9">
        <f>(I125-I124)/I124</f>
        <v>0</v>
      </c>
      <c r="K125" s="10">
        <f>1/E125</f>
        <v>0.8791208791208791</v>
      </c>
    </row>
    <row r="126" spans="1:11" ht="12.75">
      <c r="A126" s="17">
        <v>1562</v>
      </c>
      <c r="B126" s="17" t="s">
        <v>193</v>
      </c>
      <c r="C126">
        <v>23</v>
      </c>
      <c r="D126" s="12">
        <v>5</v>
      </c>
      <c r="E126" s="10">
        <f>(C126+(D126/12))/20</f>
        <v>1.1708333333333334</v>
      </c>
      <c r="F126" s="9">
        <f>(E126-E125)/E125</f>
        <v>0.029304029304029398</v>
      </c>
      <c r="G126">
        <v>8.6894</v>
      </c>
      <c r="H126" s="9">
        <f>(G126-G125)/G125</f>
        <v>0</v>
      </c>
      <c r="I126" s="10">
        <v>0.4795</v>
      </c>
      <c r="J126" s="9">
        <f>(I126-I125)/I125</f>
        <v>0</v>
      </c>
      <c r="K126" s="10">
        <f>1/E126</f>
        <v>0.8540925266903914</v>
      </c>
    </row>
    <row r="127" spans="1:11" ht="12.75">
      <c r="A127" s="17"/>
      <c r="B127" s="17" t="s">
        <v>244</v>
      </c>
      <c r="C127">
        <v>22</v>
      </c>
      <c r="D127" s="12">
        <v>7.5</v>
      </c>
      <c r="E127" s="10">
        <f>(C127+(D127/12))/20</f>
        <v>1.13125</v>
      </c>
      <c r="F127" s="9">
        <f>(E127-E126)/E126</f>
        <v>-0.033807829181494636</v>
      </c>
      <c r="G127">
        <v>8.6894</v>
      </c>
      <c r="H127" s="9">
        <f>(G127-G126)/G126</f>
        <v>0</v>
      </c>
      <c r="I127" s="10">
        <v>0.4795</v>
      </c>
      <c r="J127" s="9">
        <f>(I127-I126)/I126</f>
        <v>0</v>
      </c>
      <c r="K127" s="10">
        <f>1/E127</f>
        <v>0.8839779005524862</v>
      </c>
    </row>
    <row r="128" spans="1:11" ht="12.75">
      <c r="A128" s="17"/>
      <c r="B128" s="17" t="s">
        <v>172</v>
      </c>
      <c r="C128">
        <v>22</v>
      </c>
      <c r="D128" s="12">
        <v>3.5</v>
      </c>
      <c r="E128" s="10">
        <f>(C128+(D128/12))/20</f>
        <v>1.1145833333333335</v>
      </c>
      <c r="F128" s="9">
        <f>(E128-E127)/E127</f>
        <v>-0.01473296500920805</v>
      </c>
      <c r="G128">
        <v>8.6894</v>
      </c>
      <c r="H128" s="9">
        <f>(G128-G127)/G127</f>
        <v>0</v>
      </c>
      <c r="I128" s="10">
        <v>0.4795</v>
      </c>
      <c r="J128" s="9">
        <f>(I128-I127)/I127</f>
        <v>0</v>
      </c>
      <c r="K128" s="10">
        <f>1/E128</f>
        <v>0.8971962616822429</v>
      </c>
    </row>
    <row r="129" spans="1:11" ht="12.75">
      <c r="A129" s="17"/>
      <c r="B129" s="17" t="s">
        <v>184</v>
      </c>
      <c r="C129">
        <v>22</v>
      </c>
      <c r="D129" s="12">
        <v>0</v>
      </c>
      <c r="E129" s="10">
        <f>(C129+(D129/12))/20</f>
        <v>1.1</v>
      </c>
      <c r="F129" s="9">
        <f>(E129-E128)/E128</f>
        <v>-0.013084112149532761</v>
      </c>
      <c r="G129">
        <v>8.6894</v>
      </c>
      <c r="H129" s="9">
        <f>(G129-G128)/G128</f>
        <v>0</v>
      </c>
      <c r="I129" s="10">
        <v>0.4795</v>
      </c>
      <c r="J129" s="9">
        <f>(I129-I128)/I128</f>
        <v>0</v>
      </c>
      <c r="K129" s="10">
        <f>1/E129</f>
        <v>0.9090909090909091</v>
      </c>
    </row>
    <row r="130" spans="1:11" ht="12.75">
      <c r="A130" s="17">
        <v>1563</v>
      </c>
      <c r="B130" s="17" t="s">
        <v>234</v>
      </c>
      <c r="C130">
        <v>21</v>
      </c>
      <c r="D130" s="12">
        <v>10</v>
      </c>
      <c r="E130" s="10">
        <f>(C130+(D130/12))/20</f>
        <v>1.0916666666666666</v>
      </c>
      <c r="F130" s="9">
        <f>(E130-E129)/E129</f>
        <v>-0.00757575757575775</v>
      </c>
      <c r="G130">
        <v>8.6894</v>
      </c>
      <c r="H130" s="9">
        <f>(G130-G129)/G129</f>
        <v>0</v>
      </c>
      <c r="I130" s="10">
        <v>0.4795</v>
      </c>
      <c r="J130" s="9">
        <f>(I130-I129)/I129</f>
        <v>0</v>
      </c>
      <c r="K130" s="10">
        <f>1/E130</f>
        <v>0.9160305343511451</v>
      </c>
    </row>
    <row r="131" spans="1:5" ht="12.75">
      <c r="A131" s="17"/>
      <c r="B131" s="17"/>
      <c r="D131" s="12"/>
      <c r="E131" s="10"/>
    </row>
    <row r="132" spans="1:5" ht="12.75">
      <c r="A132" s="17"/>
      <c r="B132" s="17"/>
      <c r="D132" s="12"/>
      <c r="E132" s="10"/>
    </row>
    <row r="133" spans="1:5" ht="12.75">
      <c r="A133" s="17"/>
      <c r="B133" s="17"/>
      <c r="D133" s="12"/>
      <c r="E133" s="10"/>
    </row>
    <row r="134" spans="1:5" ht="12.75">
      <c r="A134" s="17"/>
      <c r="B134" s="17"/>
      <c r="D134" s="12"/>
      <c r="E134" s="10"/>
    </row>
    <row r="135" spans="1:5" ht="12.75">
      <c r="A135" s="17"/>
      <c r="B135" s="17"/>
      <c r="D135" s="12"/>
      <c r="E135" s="10"/>
    </row>
    <row r="136" spans="1:5" ht="12.75">
      <c r="A136" s="17"/>
      <c r="B136" s="17"/>
      <c r="D136" s="12"/>
      <c r="E136" s="10"/>
    </row>
    <row r="137" spans="1:5" ht="12.75">
      <c r="A137" s="17"/>
      <c r="B137" s="17"/>
      <c r="D137" s="12"/>
      <c r="E137" s="10"/>
    </row>
    <row r="138" spans="1:5" ht="12.75">
      <c r="A138" s="17"/>
      <c r="B138" s="17"/>
      <c r="D138" s="12"/>
      <c r="E138" s="10"/>
    </row>
    <row r="139" spans="1:5" ht="12.75">
      <c r="A139" s="17"/>
      <c r="B139" s="17"/>
      <c r="D139" s="12"/>
      <c r="E139" s="10"/>
    </row>
    <row r="140" spans="1:5" ht="12.75">
      <c r="A140" s="17"/>
      <c r="B140" s="17"/>
      <c r="D140" s="12"/>
      <c r="E140" s="10"/>
    </row>
    <row r="141" spans="1:5" ht="12.75">
      <c r="A141" s="17"/>
      <c r="B141" s="17"/>
      <c r="D141" s="12"/>
      <c r="E141" s="10"/>
    </row>
    <row r="142" spans="1:5" ht="12.75">
      <c r="A142" s="17"/>
      <c r="B142" s="17"/>
      <c r="D142" s="12"/>
      <c r="E142" s="10"/>
    </row>
    <row r="143" spans="1:5" ht="12.75">
      <c r="A143" s="17"/>
      <c r="B143" s="17"/>
      <c r="D143" s="12"/>
      <c r="E143" s="10"/>
    </row>
    <row r="144" spans="1:5" ht="12.75">
      <c r="A144" s="17"/>
      <c r="B144" s="17"/>
      <c r="D144" s="12"/>
      <c r="E144" s="10"/>
    </row>
    <row r="145" spans="1:5" ht="12.75">
      <c r="A145" s="17"/>
      <c r="B145" s="17"/>
      <c r="D145" s="12"/>
      <c r="E145" s="10"/>
    </row>
    <row r="146" spans="1:5" ht="12.75">
      <c r="A146" s="17"/>
      <c r="B146" s="17"/>
      <c r="D146" s="12"/>
      <c r="E146" s="10"/>
    </row>
    <row r="147" spans="1:5" ht="12.75">
      <c r="A147" s="17"/>
      <c r="B147" s="17"/>
      <c r="D147" s="12"/>
      <c r="E147" s="10"/>
    </row>
    <row r="148" spans="1:5" ht="12.75">
      <c r="A148" s="17"/>
      <c r="B148" s="17"/>
      <c r="D148" s="12"/>
      <c r="E148" s="10"/>
    </row>
    <row r="149" spans="1:5" ht="12.75">
      <c r="A149" s="17"/>
      <c r="B149" s="17"/>
      <c r="D149" s="12"/>
      <c r="E149" s="10"/>
    </row>
    <row r="150" spans="1:4" ht="12.75">
      <c r="A150" s="17"/>
      <c r="B150" s="17"/>
      <c r="D150" s="12"/>
    </row>
    <row r="151" spans="1:4" ht="12.75">
      <c r="A151" s="17"/>
      <c r="B151" s="17"/>
      <c r="D151" s="12"/>
    </row>
    <row r="152" spans="1:4" ht="12.75">
      <c r="A152" s="17"/>
      <c r="B152" s="17"/>
      <c r="D152" s="12"/>
    </row>
    <row r="153" spans="1:4" ht="12.75">
      <c r="A153" s="17"/>
      <c r="B153" s="17"/>
      <c r="D153" s="12"/>
    </row>
    <row r="154" spans="1:4" ht="12.75">
      <c r="A154" s="17"/>
      <c r="B154" s="17"/>
      <c r="D154" s="12"/>
    </row>
    <row r="155" spans="1:4" ht="12.75">
      <c r="A155" s="17"/>
      <c r="B155" s="17"/>
      <c r="D155" s="12"/>
    </row>
    <row r="156" spans="1:4" ht="12.75">
      <c r="A156" s="17"/>
      <c r="B156" s="17"/>
      <c r="D156" s="12"/>
    </row>
    <row r="157" spans="1:4" ht="12.75">
      <c r="A157" s="17"/>
      <c r="B157" s="17"/>
      <c r="D157" s="12"/>
    </row>
    <row r="158" spans="1:4" ht="12.75">
      <c r="A158" s="17"/>
      <c r="B158" s="17"/>
      <c r="D158" s="12"/>
    </row>
    <row r="159" spans="1:4" ht="12.75">
      <c r="A159" s="17"/>
      <c r="B159" s="17"/>
      <c r="D159" s="12"/>
    </row>
    <row r="160" spans="1:4" ht="12.75">
      <c r="A160" s="17"/>
      <c r="B160" s="17"/>
      <c r="D160" s="12"/>
    </row>
    <row r="161" spans="1:4" ht="12.75">
      <c r="A161" s="17"/>
      <c r="B161" s="17"/>
      <c r="D161" s="12"/>
    </row>
    <row r="162" spans="1:4" ht="12.75">
      <c r="A162" s="17"/>
      <c r="B162" s="17"/>
      <c r="D162" s="12"/>
    </row>
    <row r="163" spans="1:4" ht="12.75">
      <c r="A163" s="17"/>
      <c r="B163" s="17"/>
      <c r="D163" s="12"/>
    </row>
    <row r="164" spans="1:4" ht="12.75">
      <c r="A164" s="17"/>
      <c r="B164" s="17"/>
      <c r="D164" s="12"/>
    </row>
    <row r="165" spans="1:4" ht="12.75">
      <c r="A165" s="17"/>
      <c r="B165" s="17"/>
      <c r="D165" s="12"/>
    </row>
    <row r="166" spans="1:4" ht="12.75">
      <c r="A166" s="17"/>
      <c r="B166" s="17"/>
      <c r="D166" s="12"/>
    </row>
    <row r="167" spans="1:4" ht="12.75">
      <c r="A167" s="17"/>
      <c r="B167" s="17"/>
      <c r="D167" s="12"/>
    </row>
    <row r="168" spans="1:4" ht="12.75">
      <c r="A168" s="17"/>
      <c r="B168" s="17"/>
      <c r="D168" s="12"/>
    </row>
    <row r="169" spans="1:4" ht="12.75">
      <c r="A169" s="17"/>
      <c r="B169" s="17"/>
      <c r="D169" s="12"/>
    </row>
    <row r="170" spans="1:4" ht="12.75">
      <c r="A170" s="17"/>
      <c r="B170" s="17"/>
      <c r="D170" s="12"/>
    </row>
    <row r="171" spans="1:4" ht="12.75">
      <c r="A171" s="17"/>
      <c r="B171" s="17"/>
      <c r="D171" s="12"/>
    </row>
    <row r="172" spans="1:4" ht="12.75">
      <c r="A172" s="17"/>
      <c r="B172" s="17"/>
      <c r="D172" s="12"/>
    </row>
    <row r="173" spans="1:4" ht="12.75">
      <c r="A173" s="17"/>
      <c r="B173" s="17"/>
      <c r="D173" s="12"/>
    </row>
    <row r="174" spans="1:4" ht="12.75">
      <c r="A174" s="17"/>
      <c r="B174" s="17"/>
      <c r="D174" s="12"/>
    </row>
    <row r="175" spans="1:4" ht="12.75">
      <c r="A175" s="17"/>
      <c r="B175" s="17"/>
      <c r="D175" s="12"/>
    </row>
    <row r="176" spans="1:4" ht="12.75">
      <c r="A176" s="17"/>
      <c r="B176" s="17"/>
      <c r="D176" s="12"/>
    </row>
    <row r="177" spans="1:4" ht="12.75">
      <c r="A177" s="17"/>
      <c r="B177" s="17"/>
      <c r="D177" s="12"/>
    </row>
    <row r="178" spans="1:4" ht="12.75">
      <c r="A178" s="17"/>
      <c r="B178" s="17"/>
      <c r="D178" s="12"/>
    </row>
    <row r="179" spans="1:4" ht="12.75">
      <c r="A179" s="17"/>
      <c r="B179" s="17"/>
      <c r="D179" s="12"/>
    </row>
    <row r="180" spans="1:4" ht="12.75">
      <c r="A180" s="17"/>
      <c r="B180" s="17"/>
      <c r="D180" s="12"/>
    </row>
    <row r="181" spans="1:4" ht="12.75">
      <c r="A181" s="17"/>
      <c r="B181" s="17"/>
      <c r="D181" s="12"/>
    </row>
    <row r="182" spans="1:4" ht="12.75">
      <c r="A182" s="17"/>
      <c r="B182" s="17"/>
      <c r="D182" s="12"/>
    </row>
    <row r="183" spans="1:4" ht="12.75">
      <c r="A183" s="17"/>
      <c r="B183" s="17"/>
      <c r="D183" s="12"/>
    </row>
    <row r="184" spans="1:4" ht="12.75">
      <c r="A184" s="17"/>
      <c r="B184" s="17"/>
      <c r="D184" s="12"/>
    </row>
    <row r="185" spans="1:4" ht="12.75">
      <c r="A185" s="17"/>
      <c r="B185" s="17"/>
      <c r="D185" s="12"/>
    </row>
    <row r="186" spans="1:4" ht="12.75">
      <c r="A186" s="17"/>
      <c r="B186" s="17"/>
      <c r="D186" s="12"/>
    </row>
    <row r="187" spans="1:4" ht="12.75">
      <c r="A187" s="17"/>
      <c r="B187" s="17"/>
      <c r="D187" s="12"/>
    </row>
    <row r="188" spans="1:4" ht="12.75">
      <c r="A188" s="17"/>
      <c r="B188" s="17"/>
      <c r="D188" s="12"/>
    </row>
    <row r="189" spans="1:4" ht="12.75">
      <c r="A189" s="17"/>
      <c r="B189" s="17"/>
      <c r="D189" s="12"/>
    </row>
    <row r="190" spans="1:4" ht="12.75">
      <c r="A190" s="17"/>
      <c r="B190" s="17"/>
      <c r="D190" s="12"/>
    </row>
    <row r="191" spans="1:4" ht="12.75">
      <c r="A191" s="17"/>
      <c r="B191" s="17"/>
      <c r="D191" s="12"/>
    </row>
    <row r="192" spans="1:4" ht="12.75">
      <c r="A192" s="17"/>
      <c r="B192" s="17"/>
      <c r="D192" s="12"/>
    </row>
    <row r="193" spans="1:4" ht="12.75">
      <c r="A193" s="17"/>
      <c r="B193" s="17"/>
      <c r="D193" s="12"/>
    </row>
    <row r="194" spans="1:2" ht="12.75">
      <c r="A194" s="17"/>
      <c r="B194" s="1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U128"/>
  <sheetViews>
    <sheetView defaultGridColor="0" zoomScale="90" zoomScaleNormal="90" colorId="0" workbookViewId="0" topLeftCell="A1">
      <pane ySplit="6" topLeftCell="A7" activePane="bottomLeft" state="frozen"/>
      <selection pane="bottomLeft" activeCell="A8" sqref="A8"/>
    </sheetView>
  </sheetViews>
  <sheetFormatPr defaultColWidth="9.140625" defaultRowHeight="12.75"/>
  <cols>
    <col min="1" max="1" width="12.00390625" style="1" customWidth="1"/>
    <col min="2" max="2" width="14.8515625" style="20" customWidth="1"/>
    <col min="3" max="3" width="9.57421875" style="24" customWidth="1"/>
    <col min="4" max="4" width="11.140625" style="22" customWidth="1"/>
    <col min="5" max="5" width="12.00390625" style="21" customWidth="1"/>
    <col min="6" max="6" width="10.28125" style="12" customWidth="1"/>
    <col min="7" max="7" width="10.28125" style="24" customWidth="1"/>
    <col min="8" max="8" width="9.7109375" style="24" customWidth="1"/>
    <col min="9" max="9" width="10.7109375" style="24" customWidth="1"/>
    <col min="10" max="10" width="9.00390625" style="29" customWidth="1"/>
    <col min="11" max="11" width="7.28125" style="29" customWidth="1"/>
    <col min="12" max="12" width="9.140625" style="26" customWidth="1"/>
    <col min="13" max="13" width="9.8515625" style="31" customWidth="1"/>
    <col min="14" max="14" width="9.7109375" style="24" customWidth="1"/>
    <col min="15" max="15" width="9.140625" style="24" customWidth="1"/>
    <col min="16" max="16" width="8.421875" style="31" customWidth="1"/>
    <col min="17" max="17" width="10.7109375" style="10" customWidth="1"/>
    <col min="18" max="18" width="7.28125" style="24" customWidth="1"/>
    <col min="19" max="19" width="10.7109375" style="9" customWidth="1"/>
    <col min="20" max="20" width="10.8515625" style="9" customWidth="1"/>
    <col min="21" max="21" width="27.28125" style="0" customWidth="1"/>
  </cols>
  <sheetData>
    <row r="1" spans="1:3" ht="12.75">
      <c r="A1" s="1"/>
      <c r="B1" s="20"/>
      <c r="C1" s="25" t="s">
        <v>190</v>
      </c>
    </row>
    <row r="2" spans="1:3" ht="12.75">
      <c r="A2" s="1"/>
      <c r="B2" s="20"/>
      <c r="C2" s="24"/>
    </row>
    <row r="3" spans="1:21" ht="12.75">
      <c r="A3" s="1" t="s">
        <v>182</v>
      </c>
      <c r="B3" s="6" t="s">
        <v>248</v>
      </c>
      <c r="C3" s="25" t="s">
        <v>194</v>
      </c>
      <c r="D3" s="23" t="s">
        <v>194</v>
      </c>
      <c r="E3" s="28" t="s">
        <v>204</v>
      </c>
      <c r="F3" s="13" t="s">
        <v>250</v>
      </c>
      <c r="G3" s="25" t="s">
        <v>250</v>
      </c>
      <c r="H3" s="25" t="s">
        <v>314</v>
      </c>
      <c r="I3" s="25" t="s">
        <v>208</v>
      </c>
      <c r="J3" s="30" t="s">
        <v>261</v>
      </c>
      <c r="K3" s="30" t="s">
        <v>307</v>
      </c>
      <c r="L3" s="27" t="s">
        <v>308</v>
      </c>
      <c r="M3" s="32" t="s">
        <v>206</v>
      </c>
      <c r="N3" s="25" t="s">
        <v>310</v>
      </c>
      <c r="O3" s="25" t="s">
        <v>310</v>
      </c>
      <c r="P3" s="25" t="s">
        <v>310</v>
      </c>
      <c r="Q3" s="11" t="s">
        <v>310</v>
      </c>
      <c r="R3" s="25" t="s">
        <v>232</v>
      </c>
      <c r="S3" s="16" t="s">
        <v>266</v>
      </c>
      <c r="T3" s="16" t="s">
        <v>266</v>
      </c>
      <c r="U3" s="1" t="s">
        <v>178</v>
      </c>
    </row>
    <row r="4" spans="1:20" ht="12.75">
      <c r="A4" s="1" t="s">
        <v>233</v>
      </c>
      <c r="B4" s="6" t="s">
        <v>257</v>
      </c>
      <c r="C4" s="25" t="s">
        <v>215</v>
      </c>
      <c r="D4" s="23" t="s">
        <v>171</v>
      </c>
      <c r="E4" s="28" t="s">
        <v>161</v>
      </c>
      <c r="F4" s="13" t="s">
        <v>299</v>
      </c>
      <c r="G4" s="25" t="s">
        <v>303</v>
      </c>
      <c r="H4" s="25" t="s">
        <v>176</v>
      </c>
      <c r="I4" s="25" t="s">
        <v>272</v>
      </c>
      <c r="J4" s="30" t="s">
        <v>214</v>
      </c>
      <c r="K4" s="30" t="s">
        <v>167</v>
      </c>
      <c r="L4" s="27" t="s">
        <v>185</v>
      </c>
      <c r="M4" s="32" t="s">
        <v>202</v>
      </c>
      <c r="N4" s="25" t="s">
        <v>298</v>
      </c>
      <c r="O4" s="25" t="s">
        <v>302</v>
      </c>
      <c r="P4" s="25" t="s">
        <v>302</v>
      </c>
      <c r="Q4" s="11" t="s">
        <v>11</v>
      </c>
      <c r="R4" s="25" t="s">
        <v>45</v>
      </c>
      <c r="S4" s="16" t="s">
        <v>275</v>
      </c>
      <c r="T4" s="16" t="s">
        <v>175</v>
      </c>
    </row>
    <row r="5" spans="1:20" ht="12.75">
      <c r="A5" s="1"/>
      <c r="B5" s="6"/>
      <c r="C5" s="25"/>
      <c r="D5" s="23" t="s">
        <v>256</v>
      </c>
      <c r="E5" s="28" t="s">
        <v>163</v>
      </c>
      <c r="F5" s="13" t="s">
        <v>160</v>
      </c>
      <c r="G5" s="25" t="s">
        <v>162</v>
      </c>
      <c r="H5" s="25" t="s">
        <v>205</v>
      </c>
      <c r="I5" s="25" t="s">
        <v>216</v>
      </c>
      <c r="J5" s="30" t="s">
        <v>281</v>
      </c>
      <c r="K5" s="30" t="s">
        <v>264</v>
      </c>
      <c r="L5" s="27" t="s">
        <v>267</v>
      </c>
      <c r="M5" s="32" t="s">
        <v>8</v>
      </c>
      <c r="N5" s="25" t="s">
        <v>159</v>
      </c>
      <c r="O5" s="25" t="s">
        <v>166</v>
      </c>
      <c r="P5" s="25" t="s">
        <v>159</v>
      </c>
      <c r="Q5" s="11" t="s">
        <v>272</v>
      </c>
      <c r="R5" s="25">
        <v>100</v>
      </c>
      <c r="S5" s="16" t="s">
        <v>218</v>
      </c>
      <c r="T5" s="16" t="s">
        <v>229</v>
      </c>
    </row>
    <row r="6" spans="1:20" ht="12.75">
      <c r="A6" s="1"/>
      <c r="B6" s="20"/>
      <c r="C6" s="24"/>
      <c r="D6" s="22"/>
      <c r="E6" s="21"/>
      <c r="F6" s="12"/>
      <c r="G6" s="24"/>
      <c r="H6" s="24"/>
      <c r="I6" s="24"/>
      <c r="J6" s="29"/>
      <c r="K6" s="29"/>
      <c r="L6" s="26"/>
      <c r="M6" s="31"/>
      <c r="N6" s="24"/>
      <c r="O6" s="24"/>
      <c r="P6" s="31"/>
      <c r="Q6" s="10"/>
      <c r="R6" s="24"/>
      <c r="S6" s="9"/>
      <c r="T6" s="9"/>
    </row>
    <row r="7" spans="1:21" ht="12.75">
      <c r="A7" s="1" t="s">
        <v>19</v>
      </c>
      <c r="B7" s="20" t="s">
        <v>265</v>
      </c>
      <c r="C7" s="24">
        <v>23.875</v>
      </c>
      <c r="D7" s="22">
        <f>C7/24</f>
        <v>0.9947916666666666</v>
      </c>
      <c r="E7" s="21">
        <f>5400/121</f>
        <v>44.62809917355372</v>
      </c>
      <c r="F7" s="12">
        <v>121</v>
      </c>
      <c r="G7" s="24">
        <f>(12/11.25)*F7</f>
        <v>129.06666666666666</v>
      </c>
      <c r="H7" s="24">
        <f>349.9144/F7</f>
        <v>2.8918545454545455</v>
      </c>
      <c r="I7" s="24">
        <f>H7*D7</f>
        <v>2.8767928030303027</v>
      </c>
      <c r="J7" s="29">
        <v>1</v>
      </c>
      <c r="K7" s="29">
        <v>8</v>
      </c>
      <c r="L7" s="26">
        <f>(J7+(K7/12))/20</f>
        <v>0.08333333333333333</v>
      </c>
      <c r="M7" s="31">
        <f>(1/L7)*I7</f>
        <v>34.521513636363636</v>
      </c>
      <c r="N7" s="24">
        <f>(F7*L7)/(C7/23.875)</f>
        <v>10.083333333333332</v>
      </c>
      <c r="O7" s="24">
        <f>(12/11.25)*N7</f>
        <v>10.755555555555555</v>
      </c>
      <c r="P7" s="24">
        <f>(12/11.25)*N7</f>
        <v>10.755555555555555</v>
      </c>
      <c r="Q7" s="10">
        <f>(N7/0.3499144)*(24/23.875)</f>
        <v>28.96744362178367</v>
      </c>
      <c r="R7" s="24">
        <f>(Q7/$Q$11)*100</f>
        <v>67.2222222222222</v>
      </c>
      <c r="S7" s="9"/>
      <c r="T7" s="9"/>
      <c r="U7" t="s">
        <v>164</v>
      </c>
    </row>
    <row r="8" spans="1:21" ht="12.75">
      <c r="A8" s="1" t="s">
        <v>40</v>
      </c>
      <c r="B8" s="20" t="s">
        <v>195</v>
      </c>
      <c r="C8" s="24">
        <v>23.875</v>
      </c>
      <c r="D8" s="22">
        <f>C8/24</f>
        <v>0.9947916666666666</v>
      </c>
      <c r="E8" s="21">
        <v>108</v>
      </c>
      <c r="F8" s="12">
        <v>50</v>
      </c>
      <c r="G8" s="24">
        <f>(12/11.25)*F8</f>
        <v>53.333333333333336</v>
      </c>
      <c r="H8" s="24">
        <f>349.9144/F8</f>
        <v>6.998288</v>
      </c>
      <c r="I8" s="24">
        <f>H8*D8</f>
        <v>6.961838583333333</v>
      </c>
      <c r="J8" s="29">
        <v>6</v>
      </c>
      <c r="K8" s="29">
        <v>0</v>
      </c>
      <c r="L8" s="26">
        <f>(J8+(K8/12))/20</f>
        <v>0.3</v>
      </c>
      <c r="M8" s="31">
        <f>(1/L8)*I8</f>
        <v>23.20612861111111</v>
      </c>
      <c r="N8" s="24">
        <f>(F8*L8)/(C8/23.875)</f>
        <v>15</v>
      </c>
      <c r="O8" s="24">
        <f>(12/11.25)*N8</f>
        <v>16</v>
      </c>
      <c r="P8" s="24">
        <f>(12/11.25)*N8</f>
        <v>16</v>
      </c>
      <c r="Q8" s="10">
        <f>(N8/0.3499144)*(24/23.875)</f>
        <v>43.092064891909594</v>
      </c>
      <c r="R8" s="24">
        <f>(Q8/$Q$11)*100</f>
        <v>99.99999999999999</v>
      </c>
      <c r="S8" s="9">
        <f>(M8-M7)/M7</f>
        <v>-0.3277777777777778</v>
      </c>
      <c r="T8" s="9">
        <f>(Q8-Q7)/Q7</f>
        <v>0.48760330578512406</v>
      </c>
      <c r="U8" t="s">
        <v>213</v>
      </c>
    </row>
    <row r="9" spans="1:20" ht="12.75">
      <c r="A9" s="1" t="s">
        <v>41</v>
      </c>
      <c r="B9" s="20" t="s">
        <v>251</v>
      </c>
      <c r="C9" s="24">
        <v>23.875</v>
      </c>
      <c r="D9" s="22">
        <f>C9/24</f>
        <v>0.9947916666666666</v>
      </c>
      <c r="E9" s="21">
        <f>5400/39.5</f>
        <v>136.70886075949366</v>
      </c>
      <c r="F9" s="12">
        <v>39.5</v>
      </c>
      <c r="G9" s="24">
        <f>(12/11.25)*F9</f>
        <v>42.13333333333333</v>
      </c>
      <c r="H9" s="24">
        <f>349.9144/F9</f>
        <v>8.858592405063291</v>
      </c>
      <c r="I9" s="24">
        <f>H9*D9</f>
        <v>8.812453902953585</v>
      </c>
      <c r="J9" s="29">
        <v>6</v>
      </c>
      <c r="K9" s="29">
        <v>8</v>
      </c>
      <c r="L9" s="26">
        <f>(J9+(K9/12))/20</f>
        <v>0.33333333333333337</v>
      </c>
      <c r="M9" s="31">
        <f>(1/L9)*I9</f>
        <v>26.437361708860752</v>
      </c>
      <c r="N9" s="24">
        <f>(F9*L9)/(C9/23.875)</f>
        <v>13.166666666666668</v>
      </c>
      <c r="O9" s="24">
        <f>(12/11.25)*N9</f>
        <v>14.044444444444446</v>
      </c>
      <c r="P9" s="24">
        <f>(12/11.25)*N9</f>
        <v>14.044444444444446</v>
      </c>
      <c r="Q9" s="10">
        <f>(N9/0.3499144)*(24/23.875)</f>
        <v>37.82525696067621</v>
      </c>
      <c r="R9" s="24">
        <f>(Q9/$Q$11)*100</f>
        <v>87.77777777777777</v>
      </c>
      <c r="S9" s="9">
        <f>(M9-M8)/M8</f>
        <v>0.13924050632911358</v>
      </c>
      <c r="T9" s="9">
        <f>(Q9-Q8)/Q8</f>
        <v>-0.12222222222222205</v>
      </c>
    </row>
    <row r="10" spans="1:20" ht="12.75">
      <c r="A10" s="1" t="s">
        <v>43</v>
      </c>
      <c r="B10" s="20" t="s">
        <v>251</v>
      </c>
      <c r="C10" s="24">
        <v>23.875</v>
      </c>
      <c r="D10" s="22">
        <f>C10/24</f>
        <v>0.9947916666666666</v>
      </c>
      <c r="E10" s="21">
        <f>5400/42</f>
        <v>128.57142857142858</v>
      </c>
      <c r="F10" s="12">
        <v>42</v>
      </c>
      <c r="G10" s="24">
        <f>(12/11.25)*F10</f>
        <v>44.8</v>
      </c>
      <c r="H10" s="24">
        <f>349.9144/F10</f>
        <v>8.331295238095239</v>
      </c>
      <c r="I10" s="24">
        <f>H10*D10</f>
        <v>8.287903075396825</v>
      </c>
      <c r="J10" s="29">
        <v>6</v>
      </c>
      <c r="K10" s="29">
        <v>8</v>
      </c>
      <c r="L10" s="26">
        <f>(J10+(K10/12))/20</f>
        <v>0.33333333333333337</v>
      </c>
      <c r="M10" s="31">
        <f>(1/L10)*I10</f>
        <v>24.86370922619047</v>
      </c>
      <c r="N10" s="24">
        <f>(F10*L10)/(C10/23.875)</f>
        <v>14.000000000000002</v>
      </c>
      <c r="O10" s="24">
        <f>(12/11.25)*N10</f>
        <v>14.933333333333335</v>
      </c>
      <c r="P10" s="24">
        <f>(12/11.25)*N10</f>
        <v>14.933333333333335</v>
      </c>
      <c r="Q10" s="10">
        <f>(N10/0.3499144)*(24/23.875)</f>
        <v>40.21926056578229</v>
      </c>
      <c r="R10" s="24">
        <f>(Q10/$Q$11)*100</f>
        <v>93.33333333333333</v>
      </c>
      <c r="S10" s="9">
        <f>(M10-M9)/M9</f>
        <v>-0.05952380952380954</v>
      </c>
      <c r="T10" s="9">
        <f>(Q10-Q9)/Q9</f>
        <v>0.06329113924050625</v>
      </c>
    </row>
    <row r="11" spans="1:20" ht="12.75">
      <c r="A11" s="1" t="s">
        <v>47</v>
      </c>
      <c r="B11" s="20" t="s">
        <v>251</v>
      </c>
      <c r="C11" s="24">
        <v>23.875</v>
      </c>
      <c r="D11" s="22">
        <f>C11/24</f>
        <v>0.9947916666666666</v>
      </c>
      <c r="E11" s="21">
        <f>5400/45</f>
        <v>120</v>
      </c>
      <c r="F11" s="12">
        <v>45</v>
      </c>
      <c r="G11" s="24">
        <f>(12/11.25)*F11</f>
        <v>48</v>
      </c>
      <c r="H11" s="24">
        <f>349.9144/F11</f>
        <v>7.775875555555555</v>
      </c>
      <c r="I11" s="24">
        <f>H11*D11</f>
        <v>7.735376203703703</v>
      </c>
      <c r="J11" s="29">
        <v>6</v>
      </c>
      <c r="K11" s="29">
        <v>8</v>
      </c>
      <c r="L11" s="26">
        <f>(J11+(K11/12))/20</f>
        <v>0.33333333333333337</v>
      </c>
      <c r="M11" s="31">
        <f>(1/L11)*I11</f>
        <v>23.206128611111108</v>
      </c>
      <c r="N11" s="24">
        <f>(F11*L11)/(C11/23.875)</f>
        <v>15.000000000000002</v>
      </c>
      <c r="O11" s="24">
        <f>(12/11.25)*N11</f>
        <v>16</v>
      </c>
      <c r="P11" s="24">
        <f>(12/11.25)*N11</f>
        <v>16</v>
      </c>
      <c r="Q11" s="10">
        <f>(N11/0.3499144)*(24/23.875)</f>
        <v>43.0920648919096</v>
      </c>
      <c r="R11" s="24">
        <f>(Q11/$Q$11)*100</f>
        <v>100</v>
      </c>
      <c r="S11" s="9">
        <f>(M11-M10)/M10</f>
        <v>-0.06666666666666653</v>
      </c>
      <c r="T11" s="9">
        <f>(Q11-Q10)/Q10</f>
        <v>0.07142857142857148</v>
      </c>
    </row>
    <row r="12" spans="1:20" ht="12.75">
      <c r="A12" s="1" t="s">
        <v>63</v>
      </c>
      <c r="B12" s="20" t="s">
        <v>251</v>
      </c>
      <c r="C12" s="24">
        <v>23.875</v>
      </c>
      <c r="D12" s="22">
        <f>C12/24</f>
        <v>0.9947916666666666</v>
      </c>
      <c r="E12" s="21">
        <f>5400/50</f>
        <v>108</v>
      </c>
      <c r="F12" s="12">
        <v>50</v>
      </c>
      <c r="G12" s="24">
        <f>(12/11.25)*F12</f>
        <v>53.333333333333336</v>
      </c>
      <c r="H12" s="24">
        <f>349.9144/F12</f>
        <v>6.998288</v>
      </c>
      <c r="I12" s="24">
        <f>H12*D12</f>
        <v>6.961838583333333</v>
      </c>
      <c r="J12" s="29">
        <v>6</v>
      </c>
      <c r="K12" s="29">
        <v>8</v>
      </c>
      <c r="L12" s="26">
        <f>(J12+(K12/12))/20</f>
        <v>0.33333333333333337</v>
      </c>
      <c r="M12" s="31">
        <f>(1/L12)*I12</f>
        <v>20.885515749999996</v>
      </c>
      <c r="N12" s="24">
        <f>(F12*L12)/(C12/23.875)</f>
        <v>16.666666666666668</v>
      </c>
      <c r="O12" s="24">
        <f>(12/11.25)*N12</f>
        <v>17.77777777777778</v>
      </c>
      <c r="P12" s="24">
        <f>(12/11.25)*N12</f>
        <v>17.77777777777778</v>
      </c>
      <c r="Q12" s="10">
        <f>(N12/0.3499144)*(24/23.875)</f>
        <v>47.88007210212178</v>
      </c>
      <c r="R12" s="24">
        <f>(Q12/$Q$11)*100</f>
        <v>111.11111111111111</v>
      </c>
      <c r="S12" s="9">
        <f>(M12-M11)/M11</f>
        <v>-0.10000000000000005</v>
      </c>
      <c r="T12" s="9">
        <f>(Q12-Q11)/Q11</f>
        <v>0.11111111111111113</v>
      </c>
    </row>
    <row r="13" spans="1:20" ht="12.75">
      <c r="A13" s="1" t="s">
        <v>81</v>
      </c>
      <c r="B13" s="20" t="s">
        <v>251</v>
      </c>
      <c r="C13" s="24">
        <v>23.875</v>
      </c>
      <c r="D13" s="22">
        <f>C13/24</f>
        <v>0.9947916666666666</v>
      </c>
      <c r="E13" s="21">
        <f>5400/50</f>
        <v>108</v>
      </c>
      <c r="F13" s="12">
        <v>50</v>
      </c>
      <c r="G13" s="24">
        <f>(12/11.25)*F13</f>
        <v>53.333333333333336</v>
      </c>
      <c r="H13" s="24">
        <f>349.9144/F13</f>
        <v>6.998288</v>
      </c>
      <c r="I13" s="24">
        <f>H13*D13</f>
        <v>6.961838583333333</v>
      </c>
      <c r="J13" s="29">
        <v>8</v>
      </c>
      <c r="K13" s="29">
        <v>4</v>
      </c>
      <c r="L13" s="26">
        <f>(J13+(K13/12))/20</f>
        <v>0.4166666666666667</v>
      </c>
      <c r="M13" s="31">
        <f>(1/L13)*I13</f>
        <v>16.7084126</v>
      </c>
      <c r="N13" s="24">
        <f>(F13*L13)/(C13/23.875)</f>
        <v>20.833333333333336</v>
      </c>
      <c r="O13" s="24">
        <f>(12/11.25)*N13</f>
        <v>22.222222222222225</v>
      </c>
      <c r="P13" s="24">
        <f>(12/11.25)*N13</f>
        <v>22.222222222222225</v>
      </c>
      <c r="Q13" s="10">
        <f>(N13/0.3499144)*(24/23.875)</f>
        <v>59.85009012765222</v>
      </c>
      <c r="R13" s="24">
        <f>(Q13/$Q$11)*100</f>
        <v>138.88888888888889</v>
      </c>
      <c r="S13" s="9">
        <f>(M13-M12)/M12</f>
        <v>-0.1999999999999999</v>
      </c>
      <c r="T13" s="9">
        <f>(Q13-Q12)/Q12</f>
        <v>0.24999999999999997</v>
      </c>
    </row>
    <row r="14" spans="1:20" ht="12.75">
      <c r="A14" s="1" t="s">
        <v>82</v>
      </c>
      <c r="B14" s="20" t="s">
        <v>169</v>
      </c>
      <c r="C14" s="24">
        <v>23.875</v>
      </c>
      <c r="D14" s="22">
        <f>C14/24</f>
        <v>0.9947916666666666</v>
      </c>
      <c r="E14" s="21">
        <f>5400/67.5</f>
        <v>80</v>
      </c>
      <c r="F14" s="12">
        <v>67.5</v>
      </c>
      <c r="G14" s="24">
        <f>(12/11.25)*F14</f>
        <v>72</v>
      </c>
      <c r="H14" s="24">
        <f>349.9144/F14</f>
        <v>5.183917037037037</v>
      </c>
      <c r="I14" s="24">
        <f>H14*D14</f>
        <v>5.156917469135802</v>
      </c>
      <c r="J14" s="29">
        <v>6</v>
      </c>
      <c r="K14" s="29">
        <v>8</v>
      </c>
      <c r="L14" s="26">
        <f>(J14+(K14/12))/20</f>
        <v>0.33333333333333337</v>
      </c>
      <c r="M14" s="31">
        <f>(1/L14)*I14</f>
        <v>15.470752407407405</v>
      </c>
      <c r="N14" s="24">
        <f>(F14*L14)/(C14/23.875)</f>
        <v>22.500000000000004</v>
      </c>
      <c r="O14" s="24">
        <f>(12/11.25)*N14</f>
        <v>24.000000000000004</v>
      </c>
      <c r="P14" s="24">
        <f>(12/11.25)*N14</f>
        <v>24.000000000000004</v>
      </c>
      <c r="Q14" s="10">
        <f>(N14/0.3499144)*(24/23.875)</f>
        <v>64.63809733786441</v>
      </c>
      <c r="R14" s="24">
        <f>(Q14/$Q$11)*100</f>
        <v>150.00000000000003</v>
      </c>
      <c r="S14" s="9">
        <f>(M14-M13)/M13</f>
        <v>-0.07407407407407418</v>
      </c>
      <c r="T14" s="9">
        <f>(Q14-Q13)/Q13</f>
        <v>0.08000000000000013</v>
      </c>
    </row>
    <row r="15" spans="1:20" ht="12.75">
      <c r="A15" s="1"/>
      <c r="B15" s="20" t="s">
        <v>277</v>
      </c>
      <c r="C15" s="24">
        <v>23.875</v>
      </c>
      <c r="D15" s="22">
        <f>C15/24</f>
        <v>0.9947916666666666</v>
      </c>
      <c r="E15" s="21">
        <f>5400/45</f>
        <v>120</v>
      </c>
      <c r="F15" s="12">
        <v>45</v>
      </c>
      <c r="G15" s="24">
        <f>(12/11.25)*F15</f>
        <v>48</v>
      </c>
      <c r="H15" s="24">
        <f>349.9144/F15</f>
        <v>7.775875555555555</v>
      </c>
      <c r="I15" s="24">
        <f>H15*D15</f>
        <v>7.735376203703703</v>
      </c>
      <c r="J15" s="29">
        <v>10</v>
      </c>
      <c r="K15" s="29">
        <v>0</v>
      </c>
      <c r="L15" s="26">
        <f>(J15+(K15/12))/20</f>
        <v>0.5</v>
      </c>
      <c r="M15" s="31">
        <f>(1/L15)*I15</f>
        <v>15.470752407407407</v>
      </c>
      <c r="N15" s="24">
        <f>(F15*L15)/(C15/23.875)</f>
        <v>22.5</v>
      </c>
      <c r="O15" s="24">
        <f>(12/11.25)*N15</f>
        <v>24</v>
      </c>
      <c r="P15" s="24">
        <f>(12/11.25)*N15</f>
        <v>24</v>
      </c>
      <c r="Q15" s="10">
        <f>(N15/0.3499144)*(24/23.875)</f>
        <v>64.6380973378644</v>
      </c>
      <c r="R15" s="24">
        <f>(Q15/$Q$11)*100</f>
        <v>149.99999999999997</v>
      </c>
      <c r="S15" s="9">
        <f>(M15-M14)/M14</f>
        <v>0</v>
      </c>
      <c r="T15" s="9">
        <f>(Q15-Q14)/Q14</f>
        <v>0</v>
      </c>
    </row>
    <row r="16" spans="1:20" ht="12.75">
      <c r="A16" s="1" t="s">
        <v>91</v>
      </c>
      <c r="B16" s="20" t="s">
        <v>287</v>
      </c>
      <c r="C16" s="24">
        <v>23.875</v>
      </c>
      <c r="D16" s="22">
        <f>C16/24</f>
        <v>0.9947916666666666</v>
      </c>
      <c r="E16" s="21">
        <f>5400/22.5</f>
        <v>240</v>
      </c>
      <c r="F16" s="12">
        <v>22.5</v>
      </c>
      <c r="G16" s="24">
        <f>(12/11.25)*F16</f>
        <v>24</v>
      </c>
      <c r="H16" s="24">
        <f>349.9144/F16</f>
        <v>15.55175111111111</v>
      </c>
      <c r="I16" s="24">
        <f>H16*D16</f>
        <v>15.470752407407407</v>
      </c>
      <c r="J16" s="29">
        <v>20</v>
      </c>
      <c r="K16" s="29">
        <v>0</v>
      </c>
      <c r="L16" s="26">
        <f>(J16+(K16/12))/20</f>
        <v>1</v>
      </c>
      <c r="M16" s="31">
        <f>(1/L16)*I16</f>
        <v>15.470752407407407</v>
      </c>
      <c r="N16" s="24">
        <f>(F16*L16)/(C16/23.875)</f>
        <v>22.5</v>
      </c>
      <c r="O16" s="24">
        <f>(12/11.25)*N16</f>
        <v>24</v>
      </c>
      <c r="P16" s="24">
        <f>(12/11.25)*N16</f>
        <v>24</v>
      </c>
      <c r="Q16" s="10">
        <f>(N16/0.3499144)*(24/23.875)</f>
        <v>64.6380973378644</v>
      </c>
      <c r="R16" s="24">
        <f>(Q16/$Q$11)*100</f>
        <v>149.99999999999997</v>
      </c>
      <c r="S16" s="9">
        <f>(M16-M15)/M15</f>
        <v>0</v>
      </c>
      <c r="T16" s="9">
        <f>(Q16-Q15)/Q15</f>
        <v>0</v>
      </c>
    </row>
    <row r="17" spans="1:20" ht="12.75">
      <c r="A17" s="1" t="s">
        <v>104</v>
      </c>
      <c r="B17" s="20" t="s">
        <v>287</v>
      </c>
      <c r="C17" s="24">
        <v>23.875</v>
      </c>
      <c r="D17" s="22">
        <f>C17/24</f>
        <v>0.9947916666666666</v>
      </c>
      <c r="E17" s="21">
        <v>240</v>
      </c>
      <c r="F17" s="12">
        <v>22.5</v>
      </c>
      <c r="G17" s="24">
        <f>(12/11.25)*F17</f>
        <v>24</v>
      </c>
      <c r="H17" s="24">
        <f>349.9144/F17</f>
        <v>15.55175111111111</v>
      </c>
      <c r="I17" s="24">
        <f>H17*D17</f>
        <v>15.470752407407407</v>
      </c>
      <c r="J17" s="29">
        <v>22</v>
      </c>
      <c r="K17" s="29">
        <v>0</v>
      </c>
      <c r="L17" s="26">
        <f>(J17+(K17/12))/20</f>
        <v>1.1</v>
      </c>
      <c r="M17" s="31">
        <f>(1/L17)*I17</f>
        <v>14.06432037037037</v>
      </c>
      <c r="N17" s="24">
        <f>(F17*L17)/(C17/23.875)</f>
        <v>24.750000000000004</v>
      </c>
      <c r="O17" s="24">
        <f>(12/11.25)*N17</f>
        <v>26.400000000000002</v>
      </c>
      <c r="P17" s="24">
        <f>(12/11.25)*N17</f>
        <v>26.400000000000002</v>
      </c>
      <c r="Q17" s="10">
        <f>(N17/0.3499144)*(24/23.875)</f>
        <v>71.10190707165084</v>
      </c>
      <c r="R17" s="24">
        <f>(Q17/$Q$11)*100</f>
        <v>165</v>
      </c>
      <c r="S17" s="9">
        <f>(M17-M16)/M16</f>
        <v>-0.09090909090909093</v>
      </c>
      <c r="T17" s="9">
        <f>(Q17-Q16)/Q16</f>
        <v>0.10000000000000013</v>
      </c>
    </row>
    <row r="18" spans="1:20" ht="12.75">
      <c r="A18" s="1"/>
      <c r="B18" s="20" t="s">
        <v>277</v>
      </c>
      <c r="C18" s="24">
        <v>23.875</v>
      </c>
      <c r="D18" s="22">
        <f>C18/24</f>
        <v>0.9947916666666666</v>
      </c>
      <c r="E18" s="21">
        <v>120</v>
      </c>
      <c r="F18" s="12">
        <v>45</v>
      </c>
      <c r="G18" s="24">
        <f>(12/11.25)*F18</f>
        <v>48</v>
      </c>
      <c r="H18" s="24">
        <f>349.9144/F18</f>
        <v>7.775875555555555</v>
      </c>
      <c r="I18" s="24">
        <f>H18*D18</f>
        <v>7.735376203703703</v>
      </c>
      <c r="J18" s="29">
        <v>11</v>
      </c>
      <c r="K18" s="29">
        <v>0</v>
      </c>
      <c r="L18" s="26">
        <f>(J18+(K18/12))/20</f>
        <v>0.55</v>
      </c>
      <c r="M18" s="31">
        <f>(1/L18)*I18</f>
        <v>14.06432037037037</v>
      </c>
      <c r="N18" s="24">
        <f>(F18*L18)/(C18/23.875)</f>
        <v>24.750000000000004</v>
      </c>
      <c r="O18" s="24">
        <f>(12/11.25)*N18</f>
        <v>26.400000000000002</v>
      </c>
      <c r="P18" s="24">
        <f>(12/11.25)*N18</f>
        <v>26.400000000000002</v>
      </c>
      <c r="Q18" s="10">
        <f>(N18/0.3499144)*(24/23.875)</f>
        <v>71.10190707165084</v>
      </c>
      <c r="R18" s="24">
        <f>(Q18/$Q$11)*100</f>
        <v>165</v>
      </c>
      <c r="S18" s="9">
        <f>(M18-M17)/M17</f>
        <v>0</v>
      </c>
      <c r="T18" s="9">
        <f>(Q18-Q17)/Q17</f>
        <v>0</v>
      </c>
    </row>
    <row r="19" spans="1:20" ht="12.75">
      <c r="A19" s="1"/>
      <c r="B19" s="20" t="s">
        <v>169</v>
      </c>
      <c r="C19" s="24">
        <v>23.875</v>
      </c>
      <c r="D19" s="22">
        <f>C19/24</f>
        <v>0.9947916666666666</v>
      </c>
      <c r="E19" s="21">
        <v>80</v>
      </c>
      <c r="F19" s="12">
        <v>67.5</v>
      </c>
      <c r="G19" s="24">
        <f>(12/11.25)*F19</f>
        <v>72</v>
      </c>
      <c r="H19" s="24">
        <f>349.9144/F19</f>
        <v>5.183917037037037</v>
      </c>
      <c r="I19" s="24">
        <f>H19*D19</f>
        <v>5.156917469135802</v>
      </c>
      <c r="J19" s="29">
        <v>7</v>
      </c>
      <c r="K19" s="29">
        <v>4</v>
      </c>
      <c r="L19" s="26">
        <f>(J19+(K19/12))/20</f>
        <v>0.36666666666666664</v>
      </c>
      <c r="M19" s="31">
        <f>(1/L19)*I19</f>
        <v>14.064320370370371</v>
      </c>
      <c r="N19" s="24">
        <f>(F19*L19)/(C19/23.875)</f>
        <v>24.75</v>
      </c>
      <c r="O19" s="24">
        <f>(12/11.25)*N19</f>
        <v>26.4</v>
      </c>
      <c r="P19" s="24">
        <f>(12/11.25)*N19</f>
        <v>26.4</v>
      </c>
      <c r="Q19" s="10">
        <f>(N19/0.3499144)*(24/23.875)</f>
        <v>71.10190707165084</v>
      </c>
      <c r="R19" s="24">
        <f>(Q19/$Q$11)*100</f>
        <v>165</v>
      </c>
      <c r="S19" s="9">
        <f>(M19-M18)/M18</f>
        <v>0</v>
      </c>
      <c r="T19" s="9">
        <f>(Q19-Q18)/Q18</f>
        <v>0</v>
      </c>
    </row>
    <row r="20" spans="1:20" ht="12.75">
      <c r="A20" s="1"/>
      <c r="B20" s="20" t="s">
        <v>276</v>
      </c>
      <c r="C20" s="24">
        <v>23.875</v>
      </c>
      <c r="D20" s="22">
        <f>C20/24</f>
        <v>0.9947916666666666</v>
      </c>
      <c r="E20" s="21">
        <f>5400/110</f>
        <v>49.09090909090909</v>
      </c>
      <c r="F20" s="12">
        <v>110</v>
      </c>
      <c r="G20" s="24">
        <f>(12/11.25)*F20</f>
        <v>117.33333333333333</v>
      </c>
      <c r="H20" s="24">
        <f>349.9144/F20</f>
        <v>3.18104</v>
      </c>
      <c r="I20" s="24">
        <f>H20*D20</f>
        <v>3.164472083333333</v>
      </c>
      <c r="J20" s="29">
        <v>4</v>
      </c>
      <c r="K20" s="29">
        <v>6</v>
      </c>
      <c r="L20" s="26">
        <f>(J20+(K20/12))/20</f>
        <v>0.225</v>
      </c>
      <c r="M20" s="31">
        <f>(1/L20)*I20</f>
        <v>14.06432037037037</v>
      </c>
      <c r="N20" s="24">
        <f>(F20*L20)/(C20/23.875)</f>
        <v>24.75</v>
      </c>
      <c r="O20" s="24">
        <f>(12/11.25)*N20</f>
        <v>26.4</v>
      </c>
      <c r="P20" s="24">
        <f>(12/11.25)*N20</f>
        <v>26.4</v>
      </c>
      <c r="Q20" s="10">
        <f>(N20/0.3499144)*(24/23.875)</f>
        <v>71.10190707165084</v>
      </c>
      <c r="R20" s="24">
        <f>(Q20/$Q$11)*100</f>
        <v>165</v>
      </c>
      <c r="S20" s="9">
        <f>(M20-M19)/M19</f>
        <v>0</v>
      </c>
      <c r="T20" s="9">
        <f>(Q20-Q19)/Q19</f>
        <v>0</v>
      </c>
    </row>
    <row r="21" spans="1:21" ht="12.75">
      <c r="A21" s="1" t="s">
        <v>105</v>
      </c>
      <c r="B21" s="20" t="s">
        <v>287</v>
      </c>
      <c r="C21" s="24">
        <v>23.875</v>
      </c>
      <c r="D21" s="22">
        <f>C21/24</f>
        <v>0.9947916666666666</v>
      </c>
      <c r="E21" s="21">
        <v>240</v>
      </c>
      <c r="F21" s="12">
        <v>22.5</v>
      </c>
      <c r="G21" s="24">
        <f>(12/11.25)*F21</f>
        <v>24</v>
      </c>
      <c r="H21" s="24">
        <f>349.9144/F21</f>
        <v>15.55175111111111</v>
      </c>
      <c r="I21" s="24">
        <f>H21*D21</f>
        <v>15.470752407407407</v>
      </c>
      <c r="J21" s="29">
        <v>22</v>
      </c>
      <c r="K21" s="29">
        <v>6</v>
      </c>
      <c r="L21" s="26">
        <f>(J21+(K21/12))/20</f>
        <v>1.125</v>
      </c>
      <c r="M21" s="31">
        <f>(1/L21)*I21</f>
        <v>13.751779917695472</v>
      </c>
      <c r="N21" s="24">
        <f>(11.25/12)*O21</f>
        <v>25.3125</v>
      </c>
      <c r="O21" s="24">
        <f>(G21*L21)</f>
        <v>27</v>
      </c>
      <c r="P21" s="31">
        <f>O21*(23.875/C21)</f>
        <v>27</v>
      </c>
      <c r="Q21" s="10">
        <f>(P21/0.373242)*(24/23.875)</f>
        <v>72.71786470050128</v>
      </c>
      <c r="R21" s="24">
        <f>(Q21/$Q$11)*100</f>
        <v>168.75001205652094</v>
      </c>
      <c r="S21" s="9">
        <f>(M21-M20)/M20</f>
        <v>-0.022222222222222213</v>
      </c>
      <c r="T21" s="9">
        <f>(Q21-Q20)/Q20</f>
        <v>0.02272734579709662</v>
      </c>
      <c r="U21" t="s">
        <v>304</v>
      </c>
    </row>
    <row r="22" spans="1:20" ht="12.75">
      <c r="A22" s="1"/>
      <c r="B22" s="20" t="s">
        <v>169</v>
      </c>
      <c r="C22" s="24">
        <v>23.875</v>
      </c>
      <c r="D22" s="22">
        <f>C22/24</f>
        <v>0.9947916666666666</v>
      </c>
      <c r="E22" s="21">
        <v>80</v>
      </c>
      <c r="F22" s="12">
        <v>67.5</v>
      </c>
      <c r="G22" s="24">
        <f>(12/11.25)*F22</f>
        <v>72</v>
      </c>
      <c r="H22" s="24">
        <f>349.9144/F22</f>
        <v>5.183917037037037</v>
      </c>
      <c r="I22" s="24">
        <f>H22*D22</f>
        <v>5.156917469135802</v>
      </c>
      <c r="J22" s="29">
        <v>7</v>
      </c>
      <c r="K22" s="29">
        <v>6</v>
      </c>
      <c r="L22" s="26">
        <f>(J22+(K22/12))/20</f>
        <v>0.375</v>
      </c>
      <c r="M22" s="31">
        <f>(1/L22)*I22</f>
        <v>13.751779917695472</v>
      </c>
      <c r="N22" s="24">
        <f>(11.25/12)*O22</f>
        <v>25.3125</v>
      </c>
      <c r="O22" s="24">
        <f>(G22*L22)</f>
        <v>27</v>
      </c>
      <c r="P22" s="31">
        <f>O22*(23.875/C22)</f>
        <v>27</v>
      </c>
      <c r="Q22" s="10">
        <f>(P22/0.373242)*(24/23.875)</f>
        <v>72.71786470050128</v>
      </c>
      <c r="R22" s="24">
        <f>(Q22/$Q$11)*100</f>
        <v>168.75001205652094</v>
      </c>
      <c r="S22" s="9">
        <f>(M22-M21)/M21</f>
        <v>0</v>
      </c>
      <c r="T22" s="9">
        <f>(Q22-Q21)/Q21</f>
        <v>0</v>
      </c>
    </row>
    <row r="23" spans="1:20" ht="12.75">
      <c r="A23" s="1"/>
      <c r="B23" s="20" t="s">
        <v>197</v>
      </c>
      <c r="C23" s="24">
        <v>23.875</v>
      </c>
      <c r="D23" s="22">
        <f>C23/24</f>
        <v>0.9947916666666666</v>
      </c>
      <c r="E23" s="21">
        <f>5760/81</f>
        <v>71.11111111111111</v>
      </c>
      <c r="F23" s="12">
        <f>(11.25/12)*G23</f>
        <v>75.9375</v>
      </c>
      <c r="G23" s="24">
        <v>81</v>
      </c>
      <c r="H23" s="24">
        <f>349.9144/F23</f>
        <v>4.607926255144033</v>
      </c>
      <c r="I23" s="24">
        <f>H23*D23</f>
        <v>4.583926639231824</v>
      </c>
      <c r="J23" s="29">
        <v>6</v>
      </c>
      <c r="K23" s="29">
        <v>8</v>
      </c>
      <c r="L23" s="26">
        <f>(J23+(K23/12))/20</f>
        <v>0.33333333333333337</v>
      </c>
      <c r="M23" s="31">
        <f>(1/L23)*I23</f>
        <v>13.751779917695469</v>
      </c>
      <c r="N23" s="24">
        <f>(11.25/12)*O23</f>
        <v>25.312500000000004</v>
      </c>
      <c r="O23" s="24">
        <f>(G23*L23)</f>
        <v>27.000000000000004</v>
      </c>
      <c r="P23" s="31">
        <f>O23*(23.875/C23)</f>
        <v>27.000000000000004</v>
      </c>
      <c r="Q23" s="10">
        <f>(P23/0.373242)*(24/23.875)</f>
        <v>72.71786470050128</v>
      </c>
      <c r="R23" s="24">
        <f>(Q23/$Q$11)*100</f>
        <v>168.75001205652094</v>
      </c>
      <c r="S23" s="9">
        <f>(M23-M22)/M22</f>
        <v>0</v>
      </c>
      <c r="T23" s="9">
        <f>(Q23-Q22)/Q22</f>
        <v>0</v>
      </c>
    </row>
    <row r="24" spans="1:20" ht="12.75">
      <c r="A24" s="1"/>
      <c r="B24" s="20" t="s">
        <v>181</v>
      </c>
      <c r="C24" s="24">
        <v>22</v>
      </c>
      <c r="D24" s="22">
        <f>C24/24</f>
        <v>0.9166666666666666</v>
      </c>
      <c r="E24" s="21">
        <f>5760/100.5</f>
        <v>57.3134328358209</v>
      </c>
      <c r="F24" s="12">
        <f>(11.25/12)*G24</f>
        <v>94.21875</v>
      </c>
      <c r="G24" s="24">
        <v>100.5</v>
      </c>
      <c r="H24" s="24">
        <f>349.9144/F24</f>
        <v>3.7138510116086234</v>
      </c>
      <c r="I24" s="24">
        <f>H24*D24</f>
        <v>3.4043634273079046</v>
      </c>
      <c r="J24" s="29">
        <v>5</v>
      </c>
      <c r="K24" s="29">
        <v>0</v>
      </c>
      <c r="L24" s="26">
        <f>(J24+(K24/12))/20</f>
        <v>0.25</v>
      </c>
      <c r="M24" s="31">
        <f>(1/L24)*I24</f>
        <v>13.617453709231619</v>
      </c>
      <c r="N24" s="24">
        <f>(11.25/12)*O24</f>
        <v>23.5546875</v>
      </c>
      <c r="O24" s="24">
        <f>(G24*L24)</f>
        <v>25.125</v>
      </c>
      <c r="P24" s="31">
        <f>O24*(23.875/C24)</f>
        <v>27.266335227272727</v>
      </c>
      <c r="Q24" s="10">
        <f>(P24/0.373242)*(24/23.875)</f>
        <v>73.43517318279</v>
      </c>
      <c r="R24" s="24">
        <f>(Q24/$Q$11)*100</f>
        <v>170.41460734590424</v>
      </c>
      <c r="S24" s="9">
        <f>(M24-M23)/M23</f>
        <v>-0.009767914354926705</v>
      </c>
      <c r="T24" s="9">
        <f>(Q24-Q23)/Q23</f>
        <v>0.009864267676767605</v>
      </c>
    </row>
    <row r="25" spans="1:20" ht="12.75">
      <c r="A25" s="1"/>
      <c r="B25" s="20" t="s">
        <v>211</v>
      </c>
      <c r="C25" s="24">
        <v>22</v>
      </c>
      <c r="D25" s="22">
        <f>C25/24</f>
        <v>0.9166666666666666</v>
      </c>
      <c r="E25" s="21">
        <f>5760/201</f>
        <v>28.65671641791045</v>
      </c>
      <c r="F25" s="12">
        <f>(11.25/12)*G25</f>
        <v>188.4375</v>
      </c>
      <c r="G25" s="24">
        <v>201</v>
      </c>
      <c r="H25" s="24">
        <f>349.9144/F25</f>
        <v>1.8569255058043117</v>
      </c>
      <c r="I25" s="24">
        <f>H25*D25</f>
        <v>1.7021817136539523</v>
      </c>
      <c r="J25" s="29">
        <v>2</v>
      </c>
      <c r="K25" s="29">
        <v>6</v>
      </c>
      <c r="L25" s="26">
        <f>(J25+(K25/12))/20</f>
        <v>0.125</v>
      </c>
      <c r="M25" s="31">
        <f>(1/L25)*I25</f>
        <v>13.617453709231619</v>
      </c>
      <c r="N25" s="24">
        <f>(11.25/12)*O25</f>
        <v>23.5546875</v>
      </c>
      <c r="O25" s="24">
        <f>(G25*L25)</f>
        <v>25.125</v>
      </c>
      <c r="P25" s="31">
        <f>O25*(23.875/C25)</f>
        <v>27.266335227272727</v>
      </c>
      <c r="Q25" s="10">
        <f>(P25/0.373242)*(24/23.875)</f>
        <v>73.43517318279</v>
      </c>
      <c r="R25" s="24">
        <f>(Q25/$Q$11)*100</f>
        <v>170.41460734590424</v>
      </c>
      <c r="S25" s="9">
        <f>(M25-M24)/M24</f>
        <v>0</v>
      </c>
      <c r="T25" s="9">
        <f>(Q25-Q24)/Q24</f>
        <v>0</v>
      </c>
    </row>
    <row r="26" spans="1:20" ht="12.75">
      <c r="A26" s="1" t="s">
        <v>111</v>
      </c>
      <c r="B26" s="20" t="s">
        <v>277</v>
      </c>
      <c r="C26" s="24">
        <v>23.875</v>
      </c>
      <c r="D26" s="22">
        <f>C26/24</f>
        <v>0.9947916666666666</v>
      </c>
      <c r="E26" s="21">
        <v>120</v>
      </c>
      <c r="F26" s="12">
        <f>(11.25/12)*G26</f>
        <v>45</v>
      </c>
      <c r="G26" s="24">
        <v>48</v>
      </c>
      <c r="H26" s="24">
        <f>349.9144/F26</f>
        <v>7.775875555555555</v>
      </c>
      <c r="I26" s="24">
        <f>H26*D26</f>
        <v>7.735376203703703</v>
      </c>
      <c r="J26" s="29">
        <v>11</v>
      </c>
      <c r="K26" s="29">
        <v>3</v>
      </c>
      <c r="L26" s="26">
        <f>(J26+(K26/12))/20</f>
        <v>0.5625</v>
      </c>
      <c r="M26" s="31">
        <f>(1/L26)*I26</f>
        <v>13.751779917695472</v>
      </c>
      <c r="N26" s="24">
        <f>(11.25/12)*O26</f>
        <v>25.3125</v>
      </c>
      <c r="O26" s="24">
        <f>(G26*L26)</f>
        <v>27</v>
      </c>
      <c r="P26" s="31">
        <f>O26*(23.875/C26)</f>
        <v>27</v>
      </c>
      <c r="Q26" s="10">
        <f>(P26/0.373242)*(24/23.875)</f>
        <v>72.71786470050128</v>
      </c>
      <c r="R26" s="24">
        <f>(Q26/$Q$11)*100</f>
        <v>168.75001205652094</v>
      </c>
      <c r="S26" s="9">
        <f>(M26-M25)/M25</f>
        <v>0.009864267676767702</v>
      </c>
      <c r="T26" s="9">
        <f>(Q26-Q25)/Q25</f>
        <v>-0.009767914354926866</v>
      </c>
    </row>
    <row r="27" spans="1:20" ht="12.75">
      <c r="A27" s="1" t="s">
        <v>115</v>
      </c>
      <c r="B27" s="20" t="s">
        <v>287</v>
      </c>
      <c r="C27" s="24">
        <v>23</v>
      </c>
      <c r="D27" s="22">
        <f>C27/24</f>
        <v>0.9583333333333334</v>
      </c>
      <c r="E27" s="21">
        <v>200</v>
      </c>
      <c r="F27" s="12">
        <f>(11.25/12)*G27</f>
        <v>27</v>
      </c>
      <c r="G27" s="24">
        <v>28.8</v>
      </c>
      <c r="H27" s="24">
        <f>349.9144/F27</f>
        <v>12.959792592592592</v>
      </c>
      <c r="I27" s="24">
        <f>H27*D27</f>
        <v>12.4198012345679</v>
      </c>
      <c r="J27" s="29">
        <v>20</v>
      </c>
      <c r="K27" s="29">
        <v>0</v>
      </c>
      <c r="L27" s="26">
        <f>(J27+(K27/12))/20</f>
        <v>1</v>
      </c>
      <c r="M27" s="31">
        <f>(1/L27)*I27</f>
        <v>12.4198012345679</v>
      </c>
      <c r="N27" s="24">
        <f>(11.25/12)*O27</f>
        <v>27</v>
      </c>
      <c r="O27" s="24">
        <f>(G27*L27)</f>
        <v>28.8</v>
      </c>
      <c r="P27" s="31">
        <f>O27*(23.875/C27)</f>
        <v>29.895652173913046</v>
      </c>
      <c r="Q27" s="10">
        <f>(P27/0.373242)*(24/23.875)</f>
        <v>80.51659221910579</v>
      </c>
      <c r="R27" s="24">
        <f>(Q27/$Q$11)*100</f>
        <v>186.8478394364957</v>
      </c>
      <c r="S27" s="9">
        <f>(M27-M26)/M26</f>
        <v>-0.09685863874345549</v>
      </c>
      <c r="T27" s="9">
        <f>(Q27-Q26)/Q26</f>
        <v>0.10724637681159452</v>
      </c>
    </row>
    <row r="28" spans="1:20" ht="12.75">
      <c r="A28" s="1"/>
      <c r="B28" s="20" t="s">
        <v>277</v>
      </c>
      <c r="C28" s="24">
        <v>23</v>
      </c>
      <c r="D28" s="22">
        <f>C28/24</f>
        <v>0.9583333333333334</v>
      </c>
      <c r="E28" s="21">
        <v>100</v>
      </c>
      <c r="F28" s="12">
        <f>(11.25/12)*G28</f>
        <v>54</v>
      </c>
      <c r="G28" s="24">
        <v>57.6</v>
      </c>
      <c r="H28" s="24">
        <f>349.9144/F28</f>
        <v>6.479896296296296</v>
      </c>
      <c r="I28" s="24">
        <f>H28*D28</f>
        <v>6.20990061728395</v>
      </c>
      <c r="J28" s="29">
        <v>10</v>
      </c>
      <c r="K28" s="29">
        <v>0</v>
      </c>
      <c r="L28" s="26">
        <f>(J28+(K28/12))/20</f>
        <v>0.5</v>
      </c>
      <c r="M28" s="31">
        <f>(1/L28)*I28</f>
        <v>12.4198012345679</v>
      </c>
      <c r="N28" s="24">
        <f>(11.25/12)*O28</f>
        <v>27</v>
      </c>
      <c r="O28" s="24">
        <f>(G28*L28)</f>
        <v>28.8</v>
      </c>
      <c r="P28" s="31">
        <f>O28*(23.875/C28)</f>
        <v>29.895652173913046</v>
      </c>
      <c r="Q28" s="10">
        <f>(P28/0.373242)*(24/23.875)</f>
        <v>80.51659221910579</v>
      </c>
      <c r="R28" s="24">
        <f>(Q28/$Q$11)*100</f>
        <v>186.8478394364957</v>
      </c>
      <c r="S28" s="9">
        <f>(M28-M27)/M27</f>
        <v>0</v>
      </c>
      <c r="T28" s="9">
        <f>(Q28-Q27)/Q27</f>
        <v>0</v>
      </c>
    </row>
    <row r="29" spans="1:20" ht="12.75">
      <c r="A29" s="1"/>
      <c r="B29" s="20" t="s">
        <v>169</v>
      </c>
      <c r="C29" s="24">
        <v>23</v>
      </c>
      <c r="D29" s="22">
        <f>C29/24</f>
        <v>0.9583333333333334</v>
      </c>
      <c r="E29" s="21">
        <v>80</v>
      </c>
      <c r="F29" s="12">
        <f>(11.25/12)*G29</f>
        <v>67.5</v>
      </c>
      <c r="G29" s="24">
        <v>72</v>
      </c>
      <c r="H29" s="24">
        <f>349.9144/F29</f>
        <v>5.183917037037037</v>
      </c>
      <c r="I29" s="24">
        <f>H29*D29</f>
        <v>4.96792049382716</v>
      </c>
      <c r="J29" s="29">
        <v>8</v>
      </c>
      <c r="K29" s="29">
        <v>0</v>
      </c>
      <c r="L29" s="26">
        <f>(J29+(K29/12))/20</f>
        <v>0.4</v>
      </c>
      <c r="M29" s="31">
        <f>(1/L29)*I29</f>
        <v>12.419801234567899</v>
      </c>
      <c r="N29" s="24">
        <f>(11.25/12)*O29</f>
        <v>27</v>
      </c>
      <c r="O29" s="24">
        <f>(G29*L29)</f>
        <v>28.8</v>
      </c>
      <c r="P29" s="31">
        <f>O29*(23.875/C29)</f>
        <v>29.895652173913046</v>
      </c>
      <c r="Q29" s="10">
        <f>(P29/0.373242)*(24/23.875)</f>
        <v>80.51659221910579</v>
      </c>
      <c r="R29" s="24">
        <f>(Q29/$Q$11)*100</f>
        <v>186.8478394364957</v>
      </c>
      <c r="S29" s="9">
        <f>(M29-M28)/M28</f>
        <v>0</v>
      </c>
      <c r="T29" s="9">
        <f>(Q29-Q28)/Q28</f>
        <v>0</v>
      </c>
    </row>
    <row r="30" spans="1:20" ht="12.75">
      <c r="A30" s="1" t="s">
        <v>117</v>
      </c>
      <c r="B30" s="20" t="s">
        <v>287</v>
      </c>
      <c r="C30" s="24">
        <v>22</v>
      </c>
      <c r="D30" s="22">
        <f>C30/24</f>
        <v>0.9166666666666666</v>
      </c>
      <c r="E30" s="21">
        <v>192</v>
      </c>
      <c r="F30" s="12">
        <f>(11.25/12)*G30</f>
        <v>28.125</v>
      </c>
      <c r="G30" s="24">
        <v>30</v>
      </c>
      <c r="H30" s="24">
        <f>349.9144/F30</f>
        <v>12.44140088888889</v>
      </c>
      <c r="I30" s="24">
        <f>H30*D30</f>
        <v>11.404617481481482</v>
      </c>
      <c r="J30" s="29">
        <v>20</v>
      </c>
      <c r="K30" s="29">
        <v>0</v>
      </c>
      <c r="L30" s="26">
        <f>(J30+(K30/12))/20</f>
        <v>1</v>
      </c>
      <c r="M30" s="31">
        <f>(1/L30)*I30</f>
        <v>11.404617481481482</v>
      </c>
      <c r="N30" s="24">
        <f>(11.25/12)*O30</f>
        <v>28.125</v>
      </c>
      <c r="O30" s="24">
        <f>(G30*L30)</f>
        <v>30</v>
      </c>
      <c r="P30" s="31">
        <f>O30*(23.875/C30)</f>
        <v>32.55681818181818</v>
      </c>
      <c r="Q30" s="10">
        <f>(P30/0.373242)*(24/23.875)</f>
        <v>87.68378887497313</v>
      </c>
      <c r="R30" s="24">
        <f>(Q30/$Q$11)*100</f>
        <v>203.480128174214</v>
      </c>
      <c r="S30" s="9">
        <f>(M30-M29)/M29</f>
        <v>-0.08173913043478238</v>
      </c>
      <c r="T30" s="9">
        <f>(Q30-Q29)/Q29</f>
        <v>0.08901515151515117</v>
      </c>
    </row>
    <row r="31" spans="1:20" ht="12.75">
      <c r="A31" s="1"/>
      <c r="B31" s="20" t="s">
        <v>277</v>
      </c>
      <c r="C31" s="24">
        <v>22</v>
      </c>
      <c r="D31" s="22">
        <f>C31/24</f>
        <v>0.9166666666666666</v>
      </c>
      <c r="E31" s="21">
        <v>96</v>
      </c>
      <c r="F31" s="12">
        <f>(11.25/12)*G31</f>
        <v>56.25</v>
      </c>
      <c r="G31" s="24">
        <v>60</v>
      </c>
      <c r="H31" s="24">
        <f>349.9144/F31</f>
        <v>6.220700444444445</v>
      </c>
      <c r="I31" s="24">
        <f>H31*D31</f>
        <v>5.702308740740741</v>
      </c>
      <c r="J31" s="29">
        <v>10</v>
      </c>
      <c r="K31" s="29">
        <v>0</v>
      </c>
      <c r="L31" s="26">
        <f>(J31+(K31/12))/20</f>
        <v>0.5</v>
      </c>
      <c r="M31" s="31">
        <f>(1/L31)*I31</f>
        <v>11.404617481481482</v>
      </c>
      <c r="N31" s="24">
        <f>(11.25/12)*O31</f>
        <v>28.125</v>
      </c>
      <c r="O31" s="24">
        <f>(G31*L31)</f>
        <v>30</v>
      </c>
      <c r="P31" s="31">
        <f>O31*(23.875/C31)</f>
        <v>32.55681818181818</v>
      </c>
      <c r="Q31" s="10">
        <f>(P31/0.373242)*(24/23.875)</f>
        <v>87.68378887497313</v>
      </c>
      <c r="R31" s="24">
        <f>(Q31/$Q$11)*100</f>
        <v>203.480128174214</v>
      </c>
      <c r="S31" s="9">
        <f>(M31-M30)/M30</f>
        <v>0</v>
      </c>
      <c r="T31" s="9">
        <f>(Q31-Q30)/Q30</f>
        <v>0</v>
      </c>
    </row>
    <row r="32" spans="1:20" ht="12.75">
      <c r="A32" s="1" t="s">
        <v>118</v>
      </c>
      <c r="B32" s="20" t="s">
        <v>287</v>
      </c>
      <c r="C32" s="24">
        <v>20</v>
      </c>
      <c r="D32" s="22">
        <f>C32/24</f>
        <v>0.8333333333333334</v>
      </c>
      <c r="E32" s="21">
        <v>192</v>
      </c>
      <c r="F32" s="12">
        <f>(11.25/12)*G32</f>
        <v>28.125</v>
      </c>
      <c r="G32" s="24">
        <v>30</v>
      </c>
      <c r="H32" s="24">
        <f>349.9144/F32</f>
        <v>12.44140088888889</v>
      </c>
      <c r="I32" s="24">
        <f>H32*D32</f>
        <v>10.367834074074075</v>
      </c>
      <c r="J32" s="29">
        <v>20</v>
      </c>
      <c r="K32" s="29">
        <v>0</v>
      </c>
      <c r="L32" s="26">
        <f>(J32+(K32/12))/20</f>
        <v>1</v>
      </c>
      <c r="M32" s="31">
        <f>(1/L32)*I32</f>
        <v>10.367834074074075</v>
      </c>
      <c r="N32" s="24">
        <f>(11.25/12)*O32</f>
        <v>28.125</v>
      </c>
      <c r="O32" s="24">
        <f>(G32*L32)</f>
        <v>30</v>
      </c>
      <c r="P32" s="31">
        <f>O32*(23.875/C32)</f>
        <v>35.8125</v>
      </c>
      <c r="Q32" s="10">
        <f>(P32/0.373242)*(24/23.875)</f>
        <v>96.45216776247045</v>
      </c>
      <c r="R32" s="24">
        <f>(Q32/$Q$11)*100</f>
        <v>223.82814099163545</v>
      </c>
      <c r="S32" s="9">
        <f>(M32-M31)/M31</f>
        <v>-0.09090909090909088</v>
      </c>
      <c r="T32" s="9">
        <f>(Q32-Q31)/Q31</f>
        <v>0.10000000000000007</v>
      </c>
    </row>
    <row r="33" spans="1:20" ht="12.75">
      <c r="A33" s="1"/>
      <c r="B33" s="20" t="s">
        <v>277</v>
      </c>
      <c r="C33" s="24">
        <v>20</v>
      </c>
      <c r="D33" s="22">
        <f>C33/24</f>
        <v>0.8333333333333334</v>
      </c>
      <c r="E33" s="21">
        <v>96</v>
      </c>
      <c r="F33" s="12">
        <f>(11.25/12)*G33</f>
        <v>56.25</v>
      </c>
      <c r="G33" s="24">
        <v>60</v>
      </c>
      <c r="H33" s="24">
        <f>349.9144/F33</f>
        <v>6.220700444444445</v>
      </c>
      <c r="I33" s="24">
        <f>H33*D33</f>
        <v>5.1839170370370375</v>
      </c>
      <c r="J33" s="29">
        <v>10</v>
      </c>
      <c r="K33" s="29">
        <v>0</v>
      </c>
      <c r="L33" s="26">
        <f>(J33+(K33/12))/20</f>
        <v>0.5</v>
      </c>
      <c r="M33" s="31">
        <f>(1/L33)*I33</f>
        <v>10.367834074074075</v>
      </c>
      <c r="N33" s="24">
        <f>(11.25/12)*O33</f>
        <v>28.125</v>
      </c>
      <c r="O33" s="24">
        <f>(G33*L33)</f>
        <v>30</v>
      </c>
      <c r="P33" s="31">
        <f>O33*(23.875/C33)</f>
        <v>35.8125</v>
      </c>
      <c r="Q33" s="10">
        <f>(P33/0.373242)*(24/23.875)</f>
        <v>96.45216776247045</v>
      </c>
      <c r="R33" s="24">
        <f>(Q33/$Q$11)*100</f>
        <v>223.82814099163545</v>
      </c>
      <c r="S33" s="9">
        <f>(M33-M32)/M32</f>
        <v>0</v>
      </c>
      <c r="T33" s="9">
        <f>(Q33-Q32)/Q32</f>
        <v>0</v>
      </c>
    </row>
    <row r="34" spans="1:20" ht="12.75">
      <c r="A34" s="1"/>
      <c r="B34" s="20" t="s">
        <v>180</v>
      </c>
      <c r="C34" s="24">
        <v>20</v>
      </c>
      <c r="D34" s="22">
        <f>C34/24</f>
        <v>0.8333333333333334</v>
      </c>
      <c r="E34" s="21">
        <v>48</v>
      </c>
      <c r="F34" s="12">
        <f>(11.25/12)*G34</f>
        <v>112.5</v>
      </c>
      <c r="G34" s="24">
        <v>120</v>
      </c>
      <c r="H34" s="24">
        <f>349.9144/F34</f>
        <v>3.1103502222222223</v>
      </c>
      <c r="I34" s="24">
        <f>H34*D34</f>
        <v>2.5919585185185188</v>
      </c>
      <c r="J34" s="29">
        <v>5</v>
      </c>
      <c r="K34" s="29">
        <v>0</v>
      </c>
      <c r="L34" s="26">
        <f>(J34+(K34/12))/20</f>
        <v>0.25</v>
      </c>
      <c r="M34" s="31">
        <f>(1/L34)*I34</f>
        <v>10.367834074074075</v>
      </c>
      <c r="N34" s="24">
        <f>(11.25/12)*O34</f>
        <v>28.125</v>
      </c>
      <c r="O34" s="24">
        <f>(G34*L34)</f>
        <v>30</v>
      </c>
      <c r="P34" s="31">
        <f>O34*(23.875/C34)</f>
        <v>35.8125</v>
      </c>
      <c r="Q34" s="10">
        <f>(P34/0.373242)*(24/23.875)</f>
        <v>96.45216776247045</v>
      </c>
      <c r="R34" s="24">
        <f>(Q34/$Q$11)*100</f>
        <v>223.82814099163545</v>
      </c>
      <c r="S34" s="9">
        <f>(M34-M33)/M33</f>
        <v>0</v>
      </c>
      <c r="T34" s="9">
        <f>(Q34-Q33)/Q33</f>
        <v>0</v>
      </c>
    </row>
    <row r="35" spans="1:20" ht="12.75">
      <c r="A35" s="1"/>
      <c r="B35" s="20" t="s">
        <v>210</v>
      </c>
      <c r="C35" s="24">
        <v>20</v>
      </c>
      <c r="D35" s="22">
        <f>C35/24</f>
        <v>0.8333333333333334</v>
      </c>
      <c r="E35" s="21">
        <v>24</v>
      </c>
      <c r="F35" s="12">
        <f>(11.25/12)*G35</f>
        <v>225</v>
      </c>
      <c r="G35" s="24">
        <v>240</v>
      </c>
      <c r="H35" s="24">
        <f>349.9144/F35</f>
        <v>1.5551751111111112</v>
      </c>
      <c r="I35" s="24">
        <f>H35*D35</f>
        <v>1.2959792592592594</v>
      </c>
      <c r="J35" s="29">
        <v>2</v>
      </c>
      <c r="K35" s="29">
        <v>6</v>
      </c>
      <c r="L35" s="26">
        <f>(J35+(K35/12))/20</f>
        <v>0.125</v>
      </c>
      <c r="M35" s="31">
        <f>(1/L35)*I35</f>
        <v>10.367834074074075</v>
      </c>
      <c r="N35" s="24">
        <f>(11.25/12)*O35</f>
        <v>28.125</v>
      </c>
      <c r="O35" s="24">
        <f>(G35*L35)</f>
        <v>30</v>
      </c>
      <c r="P35" s="31">
        <f>O35*(23.875/C35)</f>
        <v>35.8125</v>
      </c>
      <c r="Q35" s="10">
        <f>(P35/0.373242)*(24/23.875)</f>
        <v>96.45216776247045</v>
      </c>
      <c r="R35" s="24">
        <f>(Q35/$Q$11)*100</f>
        <v>223.82814099163545</v>
      </c>
      <c r="S35" s="9">
        <f>(M35-M34)/M34</f>
        <v>0</v>
      </c>
      <c r="T35" s="9">
        <f>(Q35-Q34)/Q34</f>
        <v>0</v>
      </c>
    </row>
    <row r="36" spans="1:20" ht="12.75">
      <c r="A36" s="1" t="s">
        <v>120</v>
      </c>
      <c r="B36" s="20" t="s">
        <v>287</v>
      </c>
      <c r="C36" s="24">
        <v>22</v>
      </c>
      <c r="D36" s="22">
        <f>C36/24</f>
        <v>0.9166666666666666</v>
      </c>
      <c r="E36" s="21">
        <f>5760/34</f>
        <v>169.41176470588235</v>
      </c>
      <c r="F36" s="12">
        <f>(11.25/12)*G36</f>
        <v>31.875</v>
      </c>
      <c r="G36" s="24">
        <v>34</v>
      </c>
      <c r="H36" s="24">
        <f>349.9144/F36</f>
        <v>10.977706666666666</v>
      </c>
      <c r="I36" s="24">
        <f>H36*D36</f>
        <v>10.062897777777778</v>
      </c>
      <c r="J36" s="29">
        <v>20</v>
      </c>
      <c r="K36" s="29">
        <v>0</v>
      </c>
      <c r="L36" s="26">
        <f>(J36+(K36/12))/20</f>
        <v>1</v>
      </c>
      <c r="M36" s="31">
        <f>(1/L36)*I36</f>
        <v>10.062897777777778</v>
      </c>
      <c r="N36" s="24">
        <f>(11.25/12)*O36</f>
        <v>31.875</v>
      </c>
      <c r="O36" s="24">
        <f>(G36*L36)</f>
        <v>34</v>
      </c>
      <c r="P36" s="31">
        <f>O36*(23.875/C36)</f>
        <v>36.89772727272727</v>
      </c>
      <c r="Q36" s="10">
        <f>(P36/0.373242)*(24/23.875)</f>
        <v>99.37496072496957</v>
      </c>
      <c r="R36" s="24">
        <f>(Q36/$Q$11)*100</f>
        <v>230.61081193077592</v>
      </c>
      <c r="S36" s="9">
        <f>(M36-M35)/M35</f>
        <v>-0.029411764705882453</v>
      </c>
      <c r="T36" s="9">
        <f>(Q36-Q35)/Q35</f>
        <v>0.030303030303030425</v>
      </c>
    </row>
    <row r="37" spans="1:20" ht="12.75">
      <c r="A37" s="1"/>
      <c r="B37" s="20" t="s">
        <v>277</v>
      </c>
      <c r="C37" s="24">
        <v>22</v>
      </c>
      <c r="D37" s="22">
        <f>C37/24</f>
        <v>0.9166666666666666</v>
      </c>
      <c r="E37" s="21">
        <f>5760/68</f>
        <v>84.70588235294117</v>
      </c>
      <c r="F37" s="12">
        <f>(11.25/12)*G37</f>
        <v>63.75</v>
      </c>
      <c r="G37" s="24">
        <v>68</v>
      </c>
      <c r="H37" s="24">
        <f>349.9144/F37</f>
        <v>5.488853333333333</v>
      </c>
      <c r="I37" s="24">
        <f>H37*D37</f>
        <v>5.031448888888889</v>
      </c>
      <c r="J37" s="29">
        <v>10</v>
      </c>
      <c r="K37" s="29">
        <v>0</v>
      </c>
      <c r="L37" s="26">
        <f>(J37+(K37/12))/20</f>
        <v>0.5</v>
      </c>
      <c r="M37" s="31">
        <f>(1/L37)*I37</f>
        <v>10.062897777777778</v>
      </c>
      <c r="N37" s="24">
        <f>(11.25/12)*O37</f>
        <v>31.875</v>
      </c>
      <c r="O37" s="24">
        <f>(G37*L37)</f>
        <v>34</v>
      </c>
      <c r="P37" s="31">
        <f>O37*(23.875/C37)</f>
        <v>36.89772727272727</v>
      </c>
      <c r="Q37" s="10">
        <f>(P37/0.373242)*(24/23.875)</f>
        <v>99.37496072496957</v>
      </c>
      <c r="R37" s="24">
        <f>(Q37/$Q$11)*100</f>
        <v>230.61081193077592</v>
      </c>
      <c r="S37" s="9">
        <f>(M37-M36)/M36</f>
        <v>0</v>
      </c>
      <c r="T37" s="9">
        <f>(Q37-Q36)/Q36</f>
        <v>0</v>
      </c>
    </row>
    <row r="38" spans="1:21" ht="12.75">
      <c r="A38" s="1"/>
      <c r="B38" s="20" t="s">
        <v>169</v>
      </c>
      <c r="C38" s="24">
        <v>23</v>
      </c>
      <c r="D38" s="22">
        <f>C38/24</f>
        <v>0.9583333333333334</v>
      </c>
      <c r="E38" s="21">
        <v>80</v>
      </c>
      <c r="F38" s="12">
        <f>(11.25/12)*G38</f>
        <v>67.5</v>
      </c>
      <c r="G38" s="24">
        <v>72</v>
      </c>
      <c r="H38" s="24">
        <f>349.9144/F38</f>
        <v>5.183917037037037</v>
      </c>
      <c r="I38" s="24">
        <f>H38*D38</f>
        <v>4.96792049382716</v>
      </c>
      <c r="J38" s="29">
        <v>9</v>
      </c>
      <c r="K38" s="29">
        <v>8</v>
      </c>
      <c r="L38" s="26">
        <f>(J38+(K38/12))/20</f>
        <v>0.4833333333333333</v>
      </c>
      <c r="M38" s="31">
        <f>(1/L38)*I38</f>
        <v>10.278456194125159</v>
      </c>
      <c r="N38" s="24">
        <f>(11.25/12)*O38</f>
        <v>32.625</v>
      </c>
      <c r="O38" s="24">
        <f>(G38*L38)</f>
        <v>34.8</v>
      </c>
      <c r="P38" s="31">
        <f>O38*(23.875/C38)</f>
        <v>36.12391304347826</v>
      </c>
      <c r="Q38" s="10">
        <f>(P38/0.373242)*(24/23.875)</f>
        <v>97.29088226475281</v>
      </c>
      <c r="R38" s="24">
        <f>(Q38/$Q$11)*100</f>
        <v>225.77447265243228</v>
      </c>
      <c r="S38" s="9">
        <f>(M38-M37)/M37</f>
        <v>0.02142110762800411</v>
      </c>
      <c r="T38" s="9">
        <f>(Q38-Q37)/Q37</f>
        <v>-0.02097186700767269</v>
      </c>
      <c r="U38" t="s">
        <v>252</v>
      </c>
    </row>
    <row r="39" spans="1:20" ht="12.75">
      <c r="A39" s="1"/>
      <c r="B39" s="20" t="s">
        <v>180</v>
      </c>
      <c r="C39" s="24">
        <v>22</v>
      </c>
      <c r="D39" s="22">
        <f>C39/24</f>
        <v>0.9166666666666666</v>
      </c>
      <c r="E39" s="21">
        <f>5760/136</f>
        <v>42.35294117647059</v>
      </c>
      <c r="F39" s="12">
        <f>(11.25/12)*G39</f>
        <v>127.5</v>
      </c>
      <c r="G39" s="24">
        <v>136</v>
      </c>
      <c r="H39" s="24">
        <f>349.9144/F39</f>
        <v>2.7444266666666666</v>
      </c>
      <c r="I39" s="24">
        <f>H39*D39</f>
        <v>2.5157244444444444</v>
      </c>
      <c r="J39" s="29">
        <v>5</v>
      </c>
      <c r="K39" s="29">
        <v>0</v>
      </c>
      <c r="L39" s="26">
        <f>(J39+(K39/12))/20</f>
        <v>0.25</v>
      </c>
      <c r="M39" s="31">
        <f>(1/L39)*I39</f>
        <v>10.062897777777778</v>
      </c>
      <c r="N39" s="24">
        <f>(11.25/12)*O39</f>
        <v>31.875</v>
      </c>
      <c r="O39" s="24">
        <f>(G39*L39)</f>
        <v>34</v>
      </c>
      <c r="P39" s="31">
        <f>O39*(23.875/C39)</f>
        <v>36.89772727272727</v>
      </c>
      <c r="Q39" s="10">
        <f>(P39/0.373242)*(24/23.875)</f>
        <v>99.37496072496957</v>
      </c>
      <c r="R39" s="24">
        <f>(Q39/$Q$11)*100</f>
        <v>230.61081193077592</v>
      </c>
      <c r="S39" s="9">
        <f>(M39-M38)/M38</f>
        <v>-0.020971867007672566</v>
      </c>
      <c r="T39" s="9">
        <f>(Q39-Q38)/Q38</f>
        <v>0.02142110762800424</v>
      </c>
    </row>
    <row r="40" spans="1:20" ht="12.75">
      <c r="A40" s="1"/>
      <c r="B40" s="20" t="s">
        <v>210</v>
      </c>
      <c r="C40" s="24">
        <v>22</v>
      </c>
      <c r="D40" s="22">
        <f>C40/24</f>
        <v>0.9166666666666666</v>
      </c>
      <c r="E40" s="21">
        <f>5760/272</f>
        <v>21.176470588235293</v>
      </c>
      <c r="F40" s="12">
        <f>(11.25/12)*G40</f>
        <v>255</v>
      </c>
      <c r="G40" s="24">
        <v>272</v>
      </c>
      <c r="H40" s="24">
        <f>349.9144/F40</f>
        <v>1.3722133333333333</v>
      </c>
      <c r="I40" s="24">
        <f>H40*D40</f>
        <v>1.2578622222222222</v>
      </c>
      <c r="J40" s="29">
        <v>2</v>
      </c>
      <c r="K40" s="29">
        <v>6</v>
      </c>
      <c r="L40" s="26">
        <f>(J40+(K40/12))/20</f>
        <v>0.125</v>
      </c>
      <c r="M40" s="31">
        <f>(1/L40)*I40</f>
        <v>10.062897777777778</v>
      </c>
      <c r="N40" s="24">
        <f>(11.25/12)*O40</f>
        <v>31.875</v>
      </c>
      <c r="O40" s="24">
        <f>(G40*L40)</f>
        <v>34</v>
      </c>
      <c r="P40" s="31">
        <f>O40*(23.875/C40)</f>
        <v>36.89772727272727</v>
      </c>
      <c r="Q40" s="10">
        <f>(P40/0.373242)*(24/23.875)</f>
        <v>99.37496072496957</v>
      </c>
      <c r="R40" s="24">
        <f>(Q40/$Q$11)*100</f>
        <v>230.61081193077592</v>
      </c>
      <c r="S40" s="9">
        <f>(M40-M39)/M39</f>
        <v>0</v>
      </c>
      <c r="T40" s="9">
        <f>(Q40-Q39)/Q39</f>
        <v>0</v>
      </c>
    </row>
    <row r="41" spans="1:20" ht="12.75">
      <c r="A41" s="1" t="s">
        <v>125</v>
      </c>
      <c r="B41" s="20" t="s">
        <v>287</v>
      </c>
      <c r="C41" s="24">
        <v>23.875</v>
      </c>
      <c r="D41" s="22">
        <f>C41/24</f>
        <v>0.9947916666666666</v>
      </c>
      <c r="E41" s="21">
        <v>240</v>
      </c>
      <c r="F41" s="12">
        <f>(11.25/12)*G41</f>
        <v>22.5</v>
      </c>
      <c r="G41" s="24">
        <v>24</v>
      </c>
      <c r="H41" s="24">
        <f>349.9144/F41</f>
        <v>15.55175111111111</v>
      </c>
      <c r="I41" s="24">
        <f>H41*D41</f>
        <v>15.470752407407407</v>
      </c>
      <c r="J41" s="29">
        <v>30</v>
      </c>
      <c r="K41" s="29">
        <v>0</v>
      </c>
      <c r="L41" s="26">
        <f>(J41+(K41/12))/20</f>
        <v>1.5</v>
      </c>
      <c r="M41" s="31">
        <f>(1/L41)*I41</f>
        <v>10.313834938271604</v>
      </c>
      <c r="N41" s="24">
        <f>(11.25/12)*O41</f>
        <v>33.75</v>
      </c>
      <c r="O41" s="24">
        <f>(G41*L41)</f>
        <v>36</v>
      </c>
      <c r="P41" s="31">
        <f>O41*(23.875/C41)</f>
        <v>36</v>
      </c>
      <c r="Q41" s="10">
        <f>(P41/0.373242)*(24/23.875)</f>
        <v>96.95715293400171</v>
      </c>
      <c r="R41" s="24">
        <f>(Q41/$Q$11)*100</f>
        <v>225.00001607536126</v>
      </c>
      <c r="S41" s="9">
        <f>(M41-M40)/M40</f>
        <v>0.024936868686868636</v>
      </c>
      <c r="T41" s="9">
        <f>(Q41-Q40)/Q40</f>
        <v>-0.024330150908531058</v>
      </c>
    </row>
    <row r="42" spans="1:20" ht="12.75">
      <c r="A42" s="1"/>
      <c r="B42" s="20" t="s">
        <v>169</v>
      </c>
      <c r="C42" s="24">
        <v>23.875</v>
      </c>
      <c r="D42" s="22">
        <f>C42/24</f>
        <v>0.9947916666666666</v>
      </c>
      <c r="E42" s="21">
        <v>80</v>
      </c>
      <c r="F42" s="12">
        <f>(11.25/12)*G42</f>
        <v>67.5</v>
      </c>
      <c r="G42" s="24">
        <v>72</v>
      </c>
      <c r="H42" s="24">
        <f>349.9144/F42</f>
        <v>5.183917037037037</v>
      </c>
      <c r="I42" s="24">
        <f>H42*D42</f>
        <v>5.156917469135802</v>
      </c>
      <c r="J42" s="29">
        <v>10</v>
      </c>
      <c r="K42" s="29">
        <v>0</v>
      </c>
      <c r="L42" s="26">
        <f>(J42+(K42/12))/20</f>
        <v>0.5</v>
      </c>
      <c r="M42" s="31">
        <f>(1/L42)*I42</f>
        <v>10.313834938271604</v>
      </c>
      <c r="N42" s="24">
        <f>(11.25/12)*O42</f>
        <v>33.75</v>
      </c>
      <c r="O42" s="24">
        <f>(G42*L42)</f>
        <v>36</v>
      </c>
      <c r="P42" s="31">
        <f>O42*(23.875/C42)</f>
        <v>36</v>
      </c>
      <c r="Q42" s="10">
        <f>(P42/0.373242)*(24/23.875)</f>
        <v>96.95715293400171</v>
      </c>
      <c r="R42" s="24">
        <f>(Q42/$Q$11)*100</f>
        <v>225.00001607536126</v>
      </c>
      <c r="S42" s="9">
        <f>(M42-M41)/M41</f>
        <v>0</v>
      </c>
      <c r="T42" s="9">
        <f>(Q42-Q41)/Q41</f>
        <v>0</v>
      </c>
    </row>
    <row r="43" spans="1:20" ht="12.75">
      <c r="A43" s="1"/>
      <c r="B43" s="20" t="s">
        <v>287</v>
      </c>
      <c r="C43" s="24">
        <v>22</v>
      </c>
      <c r="D43" s="22">
        <f>C43/24</f>
        <v>0.9166666666666666</v>
      </c>
      <c r="E43" s="21">
        <f>5760/33</f>
        <v>174.54545454545453</v>
      </c>
      <c r="F43" s="12">
        <f>(11.25/12)*G43</f>
        <v>30.9375</v>
      </c>
      <c r="G43" s="24">
        <v>33</v>
      </c>
      <c r="H43" s="24">
        <f>349.9144/F43</f>
        <v>11.310364444444444</v>
      </c>
      <c r="I43" s="24">
        <f>H43*D43</f>
        <v>10.367834074074073</v>
      </c>
      <c r="J43" s="29">
        <v>20</v>
      </c>
      <c r="K43" s="29">
        <v>0</v>
      </c>
      <c r="L43" s="26">
        <f>(J43+(K43/12))/20</f>
        <v>1</v>
      </c>
      <c r="M43" s="31">
        <f>(1/L43)*I43</f>
        <v>10.367834074074073</v>
      </c>
      <c r="N43" s="24">
        <f>(11.25/12)*O43</f>
        <v>30.9375</v>
      </c>
      <c r="O43" s="24">
        <f>(G43*L43)</f>
        <v>33</v>
      </c>
      <c r="P43" s="31">
        <f>O43*(23.875/C43)</f>
        <v>35.8125</v>
      </c>
      <c r="Q43" s="10">
        <f>(P43/0.373242)*(24/23.875)</f>
        <v>96.45216776247045</v>
      </c>
      <c r="R43" s="24">
        <f>(Q43/$Q$11)*100</f>
        <v>223.82814099163545</v>
      </c>
      <c r="S43" s="9">
        <f>(M43-M42)/M42</f>
        <v>0.005235602094240821</v>
      </c>
      <c r="T43" s="9">
        <f>(Q43-Q42)/Q42</f>
        <v>-0.0052083333333333435</v>
      </c>
    </row>
    <row r="44" spans="1:20" ht="12.75">
      <c r="A44" s="1"/>
      <c r="B44" s="20" t="s">
        <v>277</v>
      </c>
      <c r="C44" s="24">
        <v>22</v>
      </c>
      <c r="D44" s="22">
        <f>C44/24</f>
        <v>0.9166666666666666</v>
      </c>
      <c r="E44" s="21">
        <f>5760/66</f>
        <v>87.27272727272727</v>
      </c>
      <c r="F44" s="12">
        <f>(11.25/12)*G44</f>
        <v>61.875</v>
      </c>
      <c r="G44" s="24">
        <v>66</v>
      </c>
      <c r="H44" s="24">
        <f>349.9144/F44</f>
        <v>5.655182222222222</v>
      </c>
      <c r="I44" s="24">
        <f>H44*D44</f>
        <v>5.183917037037037</v>
      </c>
      <c r="J44" s="29">
        <v>10</v>
      </c>
      <c r="K44" s="29">
        <v>0</v>
      </c>
      <c r="L44" s="26">
        <f>(J44+(K44/12))/20</f>
        <v>0.5</v>
      </c>
      <c r="M44" s="31">
        <f>(1/L44)*I44</f>
        <v>10.367834074074073</v>
      </c>
      <c r="N44" s="24">
        <f>(11.25/12)*O44</f>
        <v>30.9375</v>
      </c>
      <c r="O44" s="24">
        <f>(G44*L44)</f>
        <v>33</v>
      </c>
      <c r="P44" s="31">
        <f>O44*(23.875/C44)</f>
        <v>35.8125</v>
      </c>
      <c r="Q44" s="10">
        <f>(P44/0.373242)*(24/23.875)</f>
        <v>96.45216776247045</v>
      </c>
      <c r="R44" s="24">
        <f>(Q44/$Q$11)*100</f>
        <v>223.82814099163545</v>
      </c>
      <c r="S44" s="9">
        <f>(M44-M43)/M43</f>
        <v>0</v>
      </c>
      <c r="T44" s="9">
        <f>(Q44-Q43)/Q43</f>
        <v>0</v>
      </c>
    </row>
    <row r="45" spans="1:20" ht="12.75">
      <c r="A45" s="1"/>
      <c r="B45" s="20" t="s">
        <v>180</v>
      </c>
      <c r="C45" s="24">
        <v>22</v>
      </c>
      <c r="D45" s="22">
        <f>C45/24</f>
        <v>0.9166666666666666</v>
      </c>
      <c r="E45" s="21">
        <f>5760/132</f>
        <v>43.63636363636363</v>
      </c>
      <c r="F45" s="12">
        <f>(11.25/12)*G45</f>
        <v>123.75</v>
      </c>
      <c r="G45" s="24">
        <v>132</v>
      </c>
      <c r="H45" s="24">
        <f>349.9144/F45</f>
        <v>2.827591111111111</v>
      </c>
      <c r="I45" s="24">
        <f>H45*D45</f>
        <v>2.5919585185185183</v>
      </c>
      <c r="J45" s="29">
        <v>5</v>
      </c>
      <c r="K45" s="29">
        <v>0</v>
      </c>
      <c r="L45" s="26">
        <f>(J45+(K45/12))/20</f>
        <v>0.25</v>
      </c>
      <c r="M45" s="31">
        <f>(1/L45)*I45</f>
        <v>10.367834074074073</v>
      </c>
      <c r="N45" s="24">
        <f>(11.25/12)*O45</f>
        <v>30.9375</v>
      </c>
      <c r="O45" s="24">
        <f>(G45*L45)</f>
        <v>33</v>
      </c>
      <c r="P45" s="31">
        <f>O45*(23.875/C45)</f>
        <v>35.8125</v>
      </c>
      <c r="Q45" s="10">
        <f>(P45/0.373242)*(24/23.875)</f>
        <v>96.45216776247045</v>
      </c>
      <c r="R45" s="24">
        <f>(Q45/$Q$11)*100</f>
        <v>223.82814099163545</v>
      </c>
      <c r="S45" s="9">
        <f>(M45-M44)/M44</f>
        <v>0</v>
      </c>
      <c r="T45" s="9">
        <f>(Q45-Q44)/Q44</f>
        <v>0</v>
      </c>
    </row>
    <row r="46" spans="1:20" ht="12.75">
      <c r="A46" s="1"/>
      <c r="B46" s="20" t="s">
        <v>210</v>
      </c>
      <c r="C46" s="24">
        <v>22</v>
      </c>
      <c r="D46" s="22">
        <f>C46/24</f>
        <v>0.9166666666666666</v>
      </c>
      <c r="E46" s="12">
        <f>5760/264</f>
        <v>21.818181818181817</v>
      </c>
      <c r="F46" s="12">
        <f>(11.25/12)*G46</f>
        <v>247.5</v>
      </c>
      <c r="G46" s="12">
        <v>264</v>
      </c>
      <c r="H46" s="24">
        <f>349.9144/F46</f>
        <v>1.4137955555555555</v>
      </c>
      <c r="I46" s="24">
        <f>H46*D46</f>
        <v>1.2959792592592592</v>
      </c>
      <c r="J46" s="29">
        <v>2</v>
      </c>
      <c r="K46" s="29">
        <v>6</v>
      </c>
      <c r="L46" s="26">
        <f>(J46+(K46/12))/20</f>
        <v>0.125</v>
      </c>
      <c r="M46" s="31">
        <f>(1/L46)*I46</f>
        <v>10.367834074074073</v>
      </c>
      <c r="N46" s="12">
        <f>(11.25/12)*O46</f>
        <v>30.9375</v>
      </c>
      <c r="O46" s="24">
        <f>(G46*L46)</f>
        <v>33</v>
      </c>
      <c r="P46" s="31">
        <f>O46*(23.875/C46)</f>
        <v>35.8125</v>
      </c>
      <c r="Q46" s="10">
        <f>(P46/0.373242)*(24/23.875)</f>
        <v>96.45216776247045</v>
      </c>
      <c r="R46" s="24">
        <f>(Q46/$Q$11)*100</f>
        <v>223.82814099163545</v>
      </c>
      <c r="S46" s="9">
        <f>(M46-M45)/M45</f>
        <v>0</v>
      </c>
      <c r="T46" s="9">
        <f>(Q46-Q45)/Q45</f>
        <v>0</v>
      </c>
    </row>
    <row r="47" spans="1:20" ht="12.75">
      <c r="A47" s="1" t="s">
        <v>130</v>
      </c>
      <c r="B47" s="20" t="s">
        <v>287</v>
      </c>
      <c r="C47" s="24">
        <v>23.875</v>
      </c>
      <c r="D47" s="22">
        <f>C47/24</f>
        <v>0.9947916666666666</v>
      </c>
      <c r="E47" s="12">
        <v>240</v>
      </c>
      <c r="F47" s="12">
        <f>(11.25/12)*G47</f>
        <v>22.5</v>
      </c>
      <c r="G47" s="12">
        <v>24</v>
      </c>
      <c r="H47" s="24">
        <f>349.9144/F47</f>
        <v>15.55175111111111</v>
      </c>
      <c r="I47" s="24">
        <f>H47*D47</f>
        <v>15.470752407407407</v>
      </c>
      <c r="J47" s="29">
        <v>30</v>
      </c>
      <c r="K47" s="29">
        <v>0</v>
      </c>
      <c r="L47" s="26">
        <f>(J47+(K47/12))/20</f>
        <v>1.5</v>
      </c>
      <c r="M47" s="31">
        <f>(1/L47)*I47</f>
        <v>10.313834938271604</v>
      </c>
      <c r="N47" s="12">
        <f>(11.25/12)*O47</f>
        <v>33.75</v>
      </c>
      <c r="O47" s="24">
        <f>(G47*L47)</f>
        <v>36</v>
      </c>
      <c r="P47" s="31">
        <f>O47*(23.875/C47)</f>
        <v>36</v>
      </c>
      <c r="Q47" s="10">
        <f>(P47/0.373242)*(24/23.875)</f>
        <v>96.95715293400171</v>
      </c>
      <c r="R47" s="24">
        <f>(Q47/$Q$11)*100</f>
        <v>225.00001607536126</v>
      </c>
      <c r="S47" s="9">
        <f>(M47-M46)/M46</f>
        <v>-0.0052083333333333166</v>
      </c>
      <c r="T47" s="9">
        <f>(Q47-Q46)/Q46</f>
        <v>0.0052356020942408476</v>
      </c>
    </row>
    <row r="48" spans="1:20" ht="12.75">
      <c r="A48" s="1"/>
      <c r="B48" s="20" t="s">
        <v>277</v>
      </c>
      <c r="C48" s="24">
        <v>23.875</v>
      </c>
      <c r="D48" s="22">
        <f>C48/24</f>
        <v>0.9947916666666666</v>
      </c>
      <c r="E48" s="12">
        <v>120</v>
      </c>
      <c r="F48" s="12">
        <f>(11.25/12)*G48</f>
        <v>45</v>
      </c>
      <c r="G48" s="12">
        <v>48</v>
      </c>
      <c r="H48" s="24">
        <f>349.9144/F48</f>
        <v>7.775875555555555</v>
      </c>
      <c r="I48" s="24">
        <f>H48*D48</f>
        <v>7.735376203703703</v>
      </c>
      <c r="J48" s="29">
        <v>15</v>
      </c>
      <c r="K48" s="29">
        <v>0</v>
      </c>
      <c r="L48" s="26">
        <f>(J48+(K48/12))/20</f>
        <v>0.75</v>
      </c>
      <c r="M48" s="31">
        <f>(1/L48)*I48</f>
        <v>10.313834938271604</v>
      </c>
      <c r="N48" s="12">
        <f>(11.25/12)*O48</f>
        <v>33.75</v>
      </c>
      <c r="O48" s="24">
        <f>(G48*L48)</f>
        <v>36</v>
      </c>
      <c r="P48" s="31">
        <f>O48*(23.875/C48)</f>
        <v>36</v>
      </c>
      <c r="Q48" s="10">
        <f>(P48/0.373242)*(24/23.875)</f>
        <v>96.95715293400171</v>
      </c>
      <c r="R48" s="24">
        <f>(Q48/$Q$11)*100</f>
        <v>225.00001607536126</v>
      </c>
      <c r="S48" s="9">
        <f>(M48-M47)/M47</f>
        <v>0</v>
      </c>
      <c r="T48" s="9">
        <f>(Q48-Q47)/Q47</f>
        <v>0</v>
      </c>
    </row>
    <row r="49" spans="1:20" ht="12.75">
      <c r="A49" s="1"/>
      <c r="B49" s="20" t="s">
        <v>169</v>
      </c>
      <c r="C49" s="24">
        <v>23.875</v>
      </c>
      <c r="D49" s="22">
        <f>C49/24</f>
        <v>0.9947916666666666</v>
      </c>
      <c r="E49" s="12">
        <v>80</v>
      </c>
      <c r="F49" s="12">
        <f>(11.25/12)*G49</f>
        <v>67.5</v>
      </c>
      <c r="G49" s="12">
        <v>72</v>
      </c>
      <c r="H49" s="24">
        <f>349.9144/F49</f>
        <v>5.183917037037037</v>
      </c>
      <c r="I49" s="24">
        <f>H49*D49</f>
        <v>5.156917469135802</v>
      </c>
      <c r="J49" s="29">
        <v>10</v>
      </c>
      <c r="K49" s="29">
        <v>0</v>
      </c>
      <c r="L49" s="26">
        <f>(J49+(K49/12))/20</f>
        <v>0.5</v>
      </c>
      <c r="M49" s="31">
        <f>(1/L49)*I49</f>
        <v>10.313834938271604</v>
      </c>
      <c r="N49" s="12">
        <f>(11.25/12)*O49</f>
        <v>33.75</v>
      </c>
      <c r="O49" s="24">
        <f>(G49*L49)</f>
        <v>36</v>
      </c>
      <c r="P49" s="31">
        <f>O49*(23.875/C49)</f>
        <v>36</v>
      </c>
      <c r="Q49" s="10">
        <f>(P49/0.373242)*(24/23.875)</f>
        <v>96.95715293400171</v>
      </c>
      <c r="R49" s="24">
        <f>(Q49/$Q$11)*100</f>
        <v>225.00001607536126</v>
      </c>
      <c r="S49" s="9">
        <f>(M49-M48)/M48</f>
        <v>0</v>
      </c>
      <c r="T49" s="9">
        <f>(Q49-Q48)/Q48</f>
        <v>0</v>
      </c>
    </row>
    <row r="50" spans="1:20" ht="12.75">
      <c r="A50" s="1"/>
      <c r="B50" s="20" t="s">
        <v>180</v>
      </c>
      <c r="C50" s="24">
        <v>23.875</v>
      </c>
      <c r="D50" s="22">
        <f>C50/24</f>
        <v>0.9947916666666666</v>
      </c>
      <c r="E50" s="12">
        <f>5760/144</f>
        <v>40</v>
      </c>
      <c r="F50" s="12">
        <f>(11.25/12)*G50</f>
        <v>135</v>
      </c>
      <c r="G50" s="12">
        <v>144</v>
      </c>
      <c r="H50" s="24">
        <f>349.9144/F50</f>
        <v>2.5919585185185183</v>
      </c>
      <c r="I50" s="24">
        <f>H50*D50</f>
        <v>2.578458734567901</v>
      </c>
      <c r="J50" s="29">
        <v>5</v>
      </c>
      <c r="K50" s="29">
        <v>0</v>
      </c>
      <c r="L50" s="26">
        <f>(J50+(K50/12))/20</f>
        <v>0.25</v>
      </c>
      <c r="M50" s="31">
        <f>(1/L50)*I50</f>
        <v>10.313834938271604</v>
      </c>
      <c r="N50" s="12">
        <f>(11.25/12)*O50</f>
        <v>33.75</v>
      </c>
      <c r="O50" s="24">
        <f>(G50*L50)</f>
        <v>36</v>
      </c>
      <c r="P50" s="31">
        <f>O50*(23.875/C50)</f>
        <v>36</v>
      </c>
      <c r="Q50" s="10">
        <f>(P50/0.373242)*(24/23.875)</f>
        <v>96.95715293400171</v>
      </c>
      <c r="R50" s="24">
        <f>(Q50/$Q$11)*100</f>
        <v>225.00001607536126</v>
      </c>
      <c r="S50" s="9">
        <f>(M50-M49)/M49</f>
        <v>0</v>
      </c>
      <c r="T50" s="9">
        <f>(Q50-Q49)/Q49</f>
        <v>0</v>
      </c>
    </row>
    <row r="51" spans="1:20" ht="12.75">
      <c r="A51" s="1" t="s">
        <v>132</v>
      </c>
      <c r="B51" s="20" t="s">
        <v>287</v>
      </c>
      <c r="C51" s="24">
        <v>23.875</v>
      </c>
      <c r="D51" s="22">
        <f>C51/24</f>
        <v>0.9947916666666666</v>
      </c>
      <c r="E51" s="12">
        <v>240</v>
      </c>
      <c r="F51" s="12">
        <f>(11.25/12)*G51</f>
        <v>22.5</v>
      </c>
      <c r="G51" s="12">
        <v>24</v>
      </c>
      <c r="H51" s="24">
        <f>349.9144/F51</f>
        <v>15.55175111111111</v>
      </c>
      <c r="I51" s="24">
        <f>H51*D51</f>
        <v>15.470752407407407</v>
      </c>
      <c r="J51" s="29">
        <v>30</v>
      </c>
      <c r="K51" s="29">
        <v>0</v>
      </c>
      <c r="L51" s="26">
        <f>(J51+(K51/12))/20</f>
        <v>1.5</v>
      </c>
      <c r="M51" s="31">
        <f>(1/L51)*I51</f>
        <v>10.313834938271604</v>
      </c>
      <c r="N51" s="12">
        <f>(11.25/12)*O51</f>
        <v>33.75</v>
      </c>
      <c r="O51" s="24">
        <f>(G51*L51)</f>
        <v>36</v>
      </c>
      <c r="P51" s="31">
        <f>O51*(23.875/C51)</f>
        <v>36</v>
      </c>
      <c r="Q51" s="10">
        <f>(P51/0.373242)*(24/23.875)</f>
        <v>96.95715293400171</v>
      </c>
      <c r="R51" s="24">
        <f>(Q51/$Q$11)*100</f>
        <v>225.00001607536126</v>
      </c>
      <c r="S51" s="9">
        <f>(M51-M50)/M50</f>
        <v>0</v>
      </c>
      <c r="T51" s="9">
        <f>(Q51-Q50)/Q50</f>
        <v>0</v>
      </c>
    </row>
    <row r="52" spans="1:20" ht="12.75">
      <c r="A52" s="1"/>
      <c r="B52" s="20" t="s">
        <v>169</v>
      </c>
      <c r="C52" s="24">
        <v>23.875</v>
      </c>
      <c r="D52" s="22">
        <f>C52/24</f>
        <v>0.9947916666666666</v>
      </c>
      <c r="E52" s="12">
        <v>80</v>
      </c>
      <c r="F52" s="12">
        <f>(11.25/12)*G52</f>
        <v>67.5</v>
      </c>
      <c r="G52" s="12">
        <v>72</v>
      </c>
      <c r="H52" s="24">
        <f>349.9144/F52</f>
        <v>5.183917037037037</v>
      </c>
      <c r="I52" s="24">
        <f>H52*D52</f>
        <v>5.156917469135802</v>
      </c>
      <c r="J52" s="29">
        <v>10</v>
      </c>
      <c r="K52" s="29">
        <v>0</v>
      </c>
      <c r="L52" s="26">
        <f>(J52+(K52/12))/20</f>
        <v>0.5</v>
      </c>
      <c r="M52" s="31">
        <f>(1/L52)*I52</f>
        <v>10.313834938271604</v>
      </c>
      <c r="N52" s="12">
        <f>(11.25/12)*O52</f>
        <v>33.75</v>
      </c>
      <c r="O52" s="24">
        <f>(G52*L52)</f>
        <v>36</v>
      </c>
      <c r="P52" s="31">
        <f>O52*(23.875/C52)</f>
        <v>36</v>
      </c>
      <c r="Q52" s="10">
        <f>(P52/0.373242)*(24/23.875)</f>
        <v>96.95715293400171</v>
      </c>
      <c r="R52" s="24">
        <f>(Q52/$Q$11)*100</f>
        <v>225.00001607536126</v>
      </c>
      <c r="S52" s="9">
        <f>(M52-M51)/M51</f>
        <v>0</v>
      </c>
      <c r="T52" s="9">
        <f>(Q52-Q51)/Q51</f>
        <v>0</v>
      </c>
    </row>
    <row r="53" spans="1:20" ht="12.75">
      <c r="A53" s="1"/>
      <c r="B53" s="20" t="s">
        <v>287</v>
      </c>
      <c r="C53" s="24">
        <v>22</v>
      </c>
      <c r="D53" s="22">
        <f>C53/24</f>
        <v>0.9166666666666666</v>
      </c>
      <c r="E53" s="12">
        <f>5760/33</f>
        <v>174.54545454545453</v>
      </c>
      <c r="F53" s="12">
        <f>(11.25/12)*G53</f>
        <v>30.9375</v>
      </c>
      <c r="G53" s="12">
        <v>33</v>
      </c>
      <c r="H53" s="24">
        <f>349.9144/F53</f>
        <v>11.310364444444444</v>
      </c>
      <c r="I53" s="24">
        <f>H53*D53</f>
        <v>10.367834074074073</v>
      </c>
      <c r="J53" s="29">
        <v>20</v>
      </c>
      <c r="K53" s="29">
        <v>0</v>
      </c>
      <c r="L53" s="26">
        <f>(J53+(K53/12))/20</f>
        <v>1</v>
      </c>
      <c r="M53" s="31">
        <f>(1/L53)*I53</f>
        <v>10.367834074074073</v>
      </c>
      <c r="N53" s="12">
        <f>(11.25/12)*O53</f>
        <v>30.9375</v>
      </c>
      <c r="O53" s="24">
        <f>(G53*L53)</f>
        <v>33</v>
      </c>
      <c r="P53" s="31">
        <f>O53*(23.875/C53)</f>
        <v>35.8125</v>
      </c>
      <c r="Q53" s="10">
        <f>(P53/0.373242)*(24/23.875)</f>
        <v>96.45216776247045</v>
      </c>
      <c r="R53" s="24">
        <f>(Q53/$Q$11)*100</f>
        <v>223.82814099163545</v>
      </c>
      <c r="S53" s="9">
        <f>(M53-M52)/M52</f>
        <v>0.005235602094240821</v>
      </c>
      <c r="T53" s="9">
        <f>(Q53-Q52)/Q52</f>
        <v>-0.0052083333333333435</v>
      </c>
    </row>
    <row r="54" spans="1:20" ht="12.75">
      <c r="A54" s="1"/>
      <c r="B54" s="20" t="s">
        <v>277</v>
      </c>
      <c r="C54" s="24">
        <v>22</v>
      </c>
      <c r="D54" s="22">
        <f>C54/24</f>
        <v>0.9166666666666666</v>
      </c>
      <c r="E54" s="12">
        <f>5760/66</f>
        <v>87.27272727272727</v>
      </c>
      <c r="F54" s="12">
        <f>(11.25/12)*G54</f>
        <v>61.875</v>
      </c>
      <c r="G54" s="12">
        <v>66</v>
      </c>
      <c r="H54" s="24">
        <f>349.9144/F54</f>
        <v>5.655182222222222</v>
      </c>
      <c r="I54" s="24">
        <f>H54*D54</f>
        <v>5.183917037037037</v>
      </c>
      <c r="J54" s="29">
        <v>10</v>
      </c>
      <c r="K54" s="29">
        <v>0</v>
      </c>
      <c r="L54" s="26">
        <f>(J54+(K54/12))/20</f>
        <v>0.5</v>
      </c>
      <c r="M54" s="31">
        <f>(1/L54)*I54</f>
        <v>10.367834074074073</v>
      </c>
      <c r="N54" s="12">
        <f>(11.25/12)*O54</f>
        <v>30.9375</v>
      </c>
      <c r="O54" s="24">
        <f>(G54*L54)</f>
        <v>33</v>
      </c>
      <c r="P54" s="31">
        <f>O54*(23.875/C54)</f>
        <v>35.8125</v>
      </c>
      <c r="Q54" s="10">
        <f>(P54/0.373242)*(24/23.875)</f>
        <v>96.45216776247045</v>
      </c>
      <c r="R54" s="24">
        <f>(Q54/$Q$11)*100</f>
        <v>223.82814099163545</v>
      </c>
      <c r="S54" s="9">
        <f>(M54-M53)/M53</f>
        <v>0</v>
      </c>
      <c r="T54" s="9">
        <f>(Q54-Q53)/Q53</f>
        <v>0</v>
      </c>
    </row>
    <row r="55" spans="1:20" ht="12.75">
      <c r="A55" s="1"/>
      <c r="B55" s="20" t="s">
        <v>180</v>
      </c>
      <c r="C55" s="24">
        <v>22</v>
      </c>
      <c r="D55" s="22">
        <f>C55/24</f>
        <v>0.9166666666666666</v>
      </c>
      <c r="E55" s="12">
        <f>5760/132</f>
        <v>43.63636363636363</v>
      </c>
      <c r="F55" s="12">
        <f>(11.25/12)*G55</f>
        <v>123.75</v>
      </c>
      <c r="G55" s="12">
        <v>132</v>
      </c>
      <c r="H55" s="24">
        <f>349.9144/F55</f>
        <v>2.827591111111111</v>
      </c>
      <c r="I55" s="24">
        <f>H55*D55</f>
        <v>2.5919585185185183</v>
      </c>
      <c r="J55" s="29">
        <v>5</v>
      </c>
      <c r="K55" s="29">
        <v>0</v>
      </c>
      <c r="L55" s="26">
        <f>(J55+(K55/12))/20</f>
        <v>0.25</v>
      </c>
      <c r="M55" s="31">
        <f>(1/L55)*I55</f>
        <v>10.367834074074073</v>
      </c>
      <c r="N55" s="12">
        <f>(11.25/12)*O55</f>
        <v>30.9375</v>
      </c>
      <c r="O55" s="24">
        <f>(G55*L55)</f>
        <v>33</v>
      </c>
      <c r="P55" s="31">
        <f>O55*(23.875/C55)</f>
        <v>35.8125</v>
      </c>
      <c r="Q55" s="10">
        <f>(P55/0.373242)*(24/23.875)</f>
        <v>96.45216776247045</v>
      </c>
      <c r="R55" s="24">
        <f>(Q55/$Q$11)*100</f>
        <v>223.82814099163545</v>
      </c>
      <c r="S55" s="9">
        <f>(M55-M54)/M54</f>
        <v>0</v>
      </c>
      <c r="T55" s="9">
        <f>(Q55-Q54)/Q54</f>
        <v>0</v>
      </c>
    </row>
    <row r="56" spans="1:21" ht="12.75">
      <c r="A56" s="1" t="s">
        <v>133</v>
      </c>
      <c r="B56" s="20" t="s">
        <v>287</v>
      </c>
      <c r="C56" s="24">
        <v>23.875</v>
      </c>
      <c r="D56" s="22">
        <f>C56/24</f>
        <v>0.9947916666666666</v>
      </c>
      <c r="E56" s="12">
        <v>240</v>
      </c>
      <c r="F56" s="12">
        <f>(11.25/12)*G56</f>
        <v>22.5</v>
      </c>
      <c r="G56" s="12">
        <v>24</v>
      </c>
      <c r="H56" s="24">
        <f>349.9144/F56</f>
        <v>15.55175111111111</v>
      </c>
      <c r="I56" s="24">
        <f>H56*D56</f>
        <v>15.470752407407407</v>
      </c>
      <c r="J56" s="29">
        <v>30</v>
      </c>
      <c r="K56" s="29">
        <v>0</v>
      </c>
      <c r="L56" s="26">
        <f>(J56+(K56/12))/20</f>
        <v>1.5</v>
      </c>
      <c r="M56" s="31">
        <f>(1/L56)*I56</f>
        <v>10.313834938271604</v>
      </c>
      <c r="N56" s="12">
        <f>(11.25/12)*O56</f>
        <v>33.75</v>
      </c>
      <c r="O56" s="24">
        <f>(G56*L56)</f>
        <v>36</v>
      </c>
      <c r="P56" s="31">
        <f>O56*(23.875/C56)</f>
        <v>36</v>
      </c>
      <c r="Q56" s="10">
        <f>(P56/0.373242)*(24/23.875)</f>
        <v>96.95715293400171</v>
      </c>
      <c r="R56" s="24">
        <f>(Q56/$Q$11)*100</f>
        <v>225.00001607536126</v>
      </c>
      <c r="S56" s="9">
        <f>(M56-M55)/M55</f>
        <v>-0.0052083333333333166</v>
      </c>
      <c r="T56" s="9">
        <f>(Q56-Q55)/Q55</f>
        <v>0.0052356020942408476</v>
      </c>
      <c r="U56" t="s">
        <v>188</v>
      </c>
    </row>
    <row r="57" spans="1:20" ht="12.75">
      <c r="A57" s="1"/>
      <c r="B57" s="20" t="s">
        <v>277</v>
      </c>
      <c r="C57" s="24">
        <v>23.875</v>
      </c>
      <c r="D57" s="22">
        <f>C57/24</f>
        <v>0.9947916666666666</v>
      </c>
      <c r="E57" s="12">
        <v>120</v>
      </c>
      <c r="F57" s="12">
        <f>(11.25/12)*G57</f>
        <v>45</v>
      </c>
      <c r="G57" s="12">
        <v>48</v>
      </c>
      <c r="H57" s="24">
        <f>349.9144/F57</f>
        <v>7.775875555555555</v>
      </c>
      <c r="I57" s="24">
        <f>H57*D57</f>
        <v>7.735376203703703</v>
      </c>
      <c r="J57" s="29">
        <v>15</v>
      </c>
      <c r="K57" s="29">
        <v>0</v>
      </c>
      <c r="L57" s="26">
        <f>(J57+(K57/12))/20</f>
        <v>0.75</v>
      </c>
      <c r="M57" s="31">
        <f>(1/L57)*I57</f>
        <v>10.313834938271604</v>
      </c>
      <c r="N57" s="12">
        <f>(11.25/12)*O57</f>
        <v>33.75</v>
      </c>
      <c r="O57" s="24">
        <f>(G57*L57)</f>
        <v>36</v>
      </c>
      <c r="P57" s="31">
        <f>O57*(23.875/C57)</f>
        <v>36</v>
      </c>
      <c r="Q57" s="10">
        <f>(P57/0.373242)*(24/23.875)</f>
        <v>96.95715293400171</v>
      </c>
      <c r="R57" s="24">
        <f>(Q57/$Q$11)*100</f>
        <v>225.00001607536126</v>
      </c>
      <c r="S57" s="9">
        <f>(M57-M56)/M56</f>
        <v>0</v>
      </c>
      <c r="T57" s="9">
        <f>(Q57-Q56)/Q56</f>
        <v>0</v>
      </c>
    </row>
    <row r="58" spans="1:20" ht="12.75">
      <c r="A58" s="1"/>
      <c r="B58" s="20" t="s">
        <v>169</v>
      </c>
      <c r="C58" s="24">
        <v>23.875</v>
      </c>
      <c r="D58" s="22">
        <f>C58/24</f>
        <v>0.9947916666666666</v>
      </c>
      <c r="E58" s="21">
        <v>80</v>
      </c>
      <c r="F58" s="12">
        <f>(11.25/12)*G58</f>
        <v>67.5</v>
      </c>
      <c r="G58" s="24">
        <v>72</v>
      </c>
      <c r="H58" s="24">
        <f>349.9144/F58</f>
        <v>5.183917037037037</v>
      </c>
      <c r="I58" s="24">
        <f>H58*D58</f>
        <v>5.156917469135802</v>
      </c>
      <c r="J58" s="29">
        <v>10</v>
      </c>
      <c r="K58" s="29">
        <v>0</v>
      </c>
      <c r="L58" s="26">
        <f>(J58+(K58/12))/20</f>
        <v>0.5</v>
      </c>
      <c r="M58" s="31">
        <f>(1/L58)*I58</f>
        <v>10.313834938271604</v>
      </c>
      <c r="N58" s="12">
        <f>(11.25/12)*O58</f>
        <v>33.75</v>
      </c>
      <c r="O58" s="24">
        <f>(G58*L58)</f>
        <v>36</v>
      </c>
      <c r="P58" s="31">
        <f>O58*(23.875/C58)</f>
        <v>36</v>
      </c>
      <c r="Q58" s="10">
        <f>(P58/0.373242)*(24/23.875)</f>
        <v>96.95715293400171</v>
      </c>
      <c r="R58" s="24">
        <f>(Q58/$Q$11)*100</f>
        <v>225.00001607536126</v>
      </c>
      <c r="S58" s="9">
        <f>(M58-M57)/M57</f>
        <v>0</v>
      </c>
      <c r="T58" s="9">
        <f>(Q58-Q57)/Q57</f>
        <v>0</v>
      </c>
    </row>
    <row r="59" spans="1:20" ht="12.75">
      <c r="A59" s="1"/>
      <c r="B59" s="20" t="s">
        <v>168</v>
      </c>
      <c r="C59" s="24">
        <v>23.875</v>
      </c>
      <c r="D59" s="22">
        <f>C59/24</f>
        <v>0.9947916666666666</v>
      </c>
      <c r="E59" s="21">
        <v>40</v>
      </c>
      <c r="F59" s="12">
        <f>(11.25/12)*G59</f>
        <v>135</v>
      </c>
      <c r="G59" s="24">
        <v>144</v>
      </c>
      <c r="H59" s="24">
        <f>349.9144/F59</f>
        <v>2.5919585185185183</v>
      </c>
      <c r="I59" s="24">
        <f>H59*D59</f>
        <v>2.578458734567901</v>
      </c>
      <c r="J59" s="29">
        <v>5</v>
      </c>
      <c r="K59" s="29">
        <v>0</v>
      </c>
      <c r="L59" s="26">
        <f>(J59+(K59/12))/20</f>
        <v>0.25</v>
      </c>
      <c r="M59" s="31">
        <f>(1/L59)*I59</f>
        <v>10.313834938271604</v>
      </c>
      <c r="N59" s="12">
        <f>(11.25/12)*O59</f>
        <v>33.75</v>
      </c>
      <c r="O59" s="24">
        <f>(G59*L59)</f>
        <v>36</v>
      </c>
      <c r="P59" s="31">
        <f>O59*(23.875/C59)</f>
        <v>36</v>
      </c>
      <c r="Q59" s="10">
        <f>(P59/0.373242)*(24/23.875)</f>
        <v>96.95715293400171</v>
      </c>
      <c r="R59" s="24">
        <f>(Q59/$Q$11)*100</f>
        <v>225.00001607536126</v>
      </c>
      <c r="S59" s="9">
        <f>(M59-M58)/M58</f>
        <v>0</v>
      </c>
      <c r="T59" s="9">
        <f>(Q59-Q58)/Q58</f>
        <v>0</v>
      </c>
    </row>
    <row r="60" spans="1:20" ht="12.75">
      <c r="A60" s="1"/>
      <c r="B60" s="20" t="s">
        <v>287</v>
      </c>
      <c r="C60" s="24">
        <v>22</v>
      </c>
      <c r="D60" s="22">
        <f>C60/24</f>
        <v>0.9166666666666666</v>
      </c>
      <c r="E60" s="21">
        <f>5760/33</f>
        <v>174.54545454545453</v>
      </c>
      <c r="F60" s="12">
        <f>(11.25/12)*G60</f>
        <v>30.9375</v>
      </c>
      <c r="G60" s="24">
        <v>33</v>
      </c>
      <c r="H60" s="24">
        <f>349.9144/F60</f>
        <v>11.310364444444444</v>
      </c>
      <c r="I60" s="24">
        <f>H60*D60</f>
        <v>10.367834074074073</v>
      </c>
      <c r="J60" s="29">
        <v>20</v>
      </c>
      <c r="K60" s="29">
        <v>0</v>
      </c>
      <c r="L60" s="26">
        <f>(J60+(K60/12))/20</f>
        <v>1</v>
      </c>
      <c r="M60" s="31">
        <f>(1/L60)*I60</f>
        <v>10.367834074074073</v>
      </c>
      <c r="N60" s="12">
        <f>(11.25/12)*O60</f>
        <v>30.9375</v>
      </c>
      <c r="O60" s="24">
        <f>(G60*L60)</f>
        <v>33</v>
      </c>
      <c r="P60" s="31">
        <f>O60*(23.875/C60)</f>
        <v>35.8125</v>
      </c>
      <c r="Q60" s="10">
        <f>(P60/0.373242)*(24/23.875)</f>
        <v>96.45216776247045</v>
      </c>
      <c r="R60" s="24">
        <f>(Q60/$Q$11)*100</f>
        <v>223.82814099163545</v>
      </c>
      <c r="S60" s="9">
        <f>(M60-M59)/M59</f>
        <v>0.005235602094240821</v>
      </c>
      <c r="T60" s="9">
        <f>(Q60-Q59)/Q59</f>
        <v>-0.0052083333333333435</v>
      </c>
    </row>
    <row r="61" spans="1:20" ht="12.75">
      <c r="A61" s="1"/>
      <c r="B61" s="20" t="s">
        <v>212</v>
      </c>
      <c r="C61" s="24">
        <v>22</v>
      </c>
      <c r="D61" s="22">
        <f>C61/24</f>
        <v>0.9166666666666666</v>
      </c>
      <c r="E61" s="21">
        <f>5760/66</f>
        <v>87.27272727272727</v>
      </c>
      <c r="F61" s="12">
        <f>(11.25/12)*G61</f>
        <v>61.875</v>
      </c>
      <c r="G61" s="24">
        <v>66</v>
      </c>
      <c r="H61" s="24">
        <f>349.9144/F61</f>
        <v>5.655182222222222</v>
      </c>
      <c r="I61" s="24">
        <f>H61*D61</f>
        <v>5.183917037037037</v>
      </c>
      <c r="J61" s="29">
        <v>10</v>
      </c>
      <c r="K61" s="29">
        <v>0</v>
      </c>
      <c r="L61" s="26">
        <f>(J61+(K61/12))/20</f>
        <v>0.5</v>
      </c>
      <c r="M61" s="31">
        <f>(1/L61)*I61</f>
        <v>10.367834074074073</v>
      </c>
      <c r="N61" s="12">
        <f>(11.25/12)*O61</f>
        <v>30.9375</v>
      </c>
      <c r="O61" s="24">
        <f>(G61*L61)</f>
        <v>33</v>
      </c>
      <c r="P61" s="31">
        <f>O61*(23.875/C61)</f>
        <v>35.8125</v>
      </c>
      <c r="Q61" s="10">
        <f>(P61/0.373242)*(24/23.875)</f>
        <v>96.45216776247045</v>
      </c>
      <c r="R61" s="24">
        <f>(Q61/$Q$11)*100</f>
        <v>223.82814099163545</v>
      </c>
      <c r="S61" s="9">
        <f>(M61-M60)/M60</f>
        <v>0</v>
      </c>
      <c r="T61" s="9">
        <f>(Q61-Q60)/Q60</f>
        <v>0</v>
      </c>
    </row>
    <row r="62" spans="1:20" ht="12.75">
      <c r="A62" s="1"/>
      <c r="B62" s="20" t="s">
        <v>180</v>
      </c>
      <c r="C62" s="24">
        <v>22</v>
      </c>
      <c r="D62" s="22">
        <f>C62/24</f>
        <v>0.9166666666666666</v>
      </c>
      <c r="E62" s="21">
        <f>5760/132</f>
        <v>43.63636363636363</v>
      </c>
      <c r="F62" s="12">
        <f>(11.25/12)*G62</f>
        <v>123.75</v>
      </c>
      <c r="G62" s="24">
        <v>132</v>
      </c>
      <c r="H62" s="24">
        <f>349.9144/F62</f>
        <v>2.827591111111111</v>
      </c>
      <c r="I62" s="24">
        <f>H62*D62</f>
        <v>2.5919585185185183</v>
      </c>
      <c r="J62" s="29">
        <v>5</v>
      </c>
      <c r="K62" s="29">
        <v>0</v>
      </c>
      <c r="L62" s="26">
        <f>(J62+(K62/12))/20</f>
        <v>0.25</v>
      </c>
      <c r="M62" s="31">
        <f>(1/L62)*I62</f>
        <v>10.367834074074073</v>
      </c>
      <c r="N62" s="12">
        <f>(11.25/12)*O62</f>
        <v>30.9375</v>
      </c>
      <c r="O62" s="24">
        <f>(G62*L62)</f>
        <v>33</v>
      </c>
      <c r="P62" s="31">
        <f>O62*(23.875/C62)</f>
        <v>35.8125</v>
      </c>
      <c r="Q62" s="10">
        <f>(P62/0.373242)*(24/23.875)</f>
        <v>96.45216776247045</v>
      </c>
      <c r="R62" s="24">
        <f>(Q62/$Q$11)*100</f>
        <v>223.82814099163545</v>
      </c>
      <c r="S62" s="9">
        <f>(M62-M61)/M61</f>
        <v>0</v>
      </c>
      <c r="T62" s="9">
        <f>(Q62-Q61)/Q61</f>
        <v>0</v>
      </c>
    </row>
    <row r="63" spans="1:20" ht="12.75">
      <c r="A63" s="1"/>
      <c r="B63" s="20" t="s">
        <v>210</v>
      </c>
      <c r="C63" s="24">
        <v>22</v>
      </c>
      <c r="D63" s="22">
        <f>C63/24</f>
        <v>0.9166666666666666</v>
      </c>
      <c r="E63" s="21">
        <f>5760/264</f>
        <v>21.818181818181817</v>
      </c>
      <c r="F63" s="12">
        <f>(11.25/12)*G63</f>
        <v>247.5</v>
      </c>
      <c r="G63" s="24">
        <v>264</v>
      </c>
      <c r="H63" s="24">
        <f>349.9144/F63</f>
        <v>1.4137955555555555</v>
      </c>
      <c r="I63" s="24">
        <f>H63*D63</f>
        <v>1.2959792592592592</v>
      </c>
      <c r="J63" s="29">
        <v>2</v>
      </c>
      <c r="K63" s="29">
        <v>6</v>
      </c>
      <c r="L63" s="26">
        <f>(J63+(K63/12))/20</f>
        <v>0.125</v>
      </c>
      <c r="M63" s="31">
        <f>(1/L63)*I63</f>
        <v>10.367834074074073</v>
      </c>
      <c r="N63" s="12">
        <f>(11.25/12)*O63</f>
        <v>30.9375</v>
      </c>
      <c r="O63" s="24">
        <f>(G63*L63)</f>
        <v>33</v>
      </c>
      <c r="P63" s="31">
        <f>O63*(23.875/C63)</f>
        <v>35.8125</v>
      </c>
      <c r="Q63" s="10">
        <f>(P63/0.373242)*(24/23.875)</f>
        <v>96.45216776247045</v>
      </c>
      <c r="R63" s="24">
        <f>(Q63/$Q$11)*100</f>
        <v>223.82814099163545</v>
      </c>
      <c r="S63" s="9">
        <f>(M63-M62)/M62</f>
        <v>0</v>
      </c>
      <c r="T63" s="9">
        <f>(Q63-Q62)/Q62</f>
        <v>0</v>
      </c>
    </row>
    <row r="64" spans="1:20" ht="12.75">
      <c r="A64" s="1" t="s">
        <v>142</v>
      </c>
      <c r="B64" s="20" t="s">
        <v>169</v>
      </c>
      <c r="C64" s="24">
        <f>23+(3.25/4)</f>
        <v>23.8125</v>
      </c>
      <c r="D64" s="22">
        <f>C64/24</f>
        <v>0.9921875</v>
      </c>
      <c r="E64" s="21">
        <v>80</v>
      </c>
      <c r="F64" s="12">
        <f>(11.25/12)*G64</f>
        <v>67.5</v>
      </c>
      <c r="G64" s="24">
        <f>5760/80</f>
        <v>72</v>
      </c>
      <c r="H64" s="24">
        <f>349.9144/F64</f>
        <v>5.183917037037037</v>
      </c>
      <c r="I64" s="24">
        <f>H64*D64</f>
        <v>5.1434176851851845</v>
      </c>
      <c r="J64" s="29">
        <v>10</v>
      </c>
      <c r="K64" s="29">
        <v>0</v>
      </c>
      <c r="L64" s="26">
        <f>(J64+(K64/12))/20</f>
        <v>0.5</v>
      </c>
      <c r="M64" s="31">
        <f>(1/L64)*I64</f>
        <v>10.286835370370369</v>
      </c>
      <c r="N64" s="12">
        <f>(11.25/12)*O64</f>
        <v>33.837890625</v>
      </c>
      <c r="O64" s="24">
        <f>36+(1/20)+(10.5/12/20)</f>
        <v>36.09375</v>
      </c>
      <c r="P64" s="31">
        <f>O64*(23.875/C64)</f>
        <v>36.188484251968504</v>
      </c>
      <c r="Q64" s="10">
        <f>(P64/0.373242)*(24/23.875)</f>
        <v>97.46478894632841</v>
      </c>
      <c r="R64" s="24">
        <f>(Q64/$Q$11)*100</f>
        <v>226.17804273432975</v>
      </c>
      <c r="S64" s="9">
        <f>(M64-M63)/M63</f>
        <v>-0.00781250000000006</v>
      </c>
      <c r="T64" s="9">
        <f>(Q64-Q63)/Q63</f>
        <v>0.010498687664042014</v>
      </c>
    </row>
    <row r="65" spans="1:20" ht="12.75">
      <c r="A65" s="1" t="s">
        <v>146</v>
      </c>
      <c r="B65" s="20" t="s">
        <v>169</v>
      </c>
      <c r="C65" s="24">
        <v>23.875</v>
      </c>
      <c r="D65" s="22">
        <f>C65/24</f>
        <v>0.9947916666666666</v>
      </c>
      <c r="E65" s="21">
        <v>80</v>
      </c>
      <c r="F65" s="12">
        <f>(11.25/12)*G65</f>
        <v>67.5</v>
      </c>
      <c r="G65" s="24">
        <f>5760/80</f>
        <v>72</v>
      </c>
      <c r="H65" s="24">
        <f>349.9144/F65</f>
        <v>5.183917037037037</v>
      </c>
      <c r="I65" s="24">
        <f>H65*D65</f>
        <v>5.156917469135802</v>
      </c>
      <c r="J65" s="29">
        <v>10</v>
      </c>
      <c r="K65" s="29">
        <v>0</v>
      </c>
      <c r="L65" s="26">
        <f>(J65+(K65/12))/20</f>
        <v>0.5</v>
      </c>
      <c r="M65" s="31">
        <f>(1/L65)*I65</f>
        <v>10.313834938271604</v>
      </c>
      <c r="N65" s="12">
        <f>(11.25/12)*O65</f>
        <v>33.75</v>
      </c>
      <c r="O65" s="24">
        <v>36</v>
      </c>
      <c r="P65" s="31">
        <f>O65*(23.875/C65)</f>
        <v>36</v>
      </c>
      <c r="Q65" s="10">
        <f>(P65/0.373242)*(24/23.875)</f>
        <v>96.95715293400171</v>
      </c>
      <c r="R65" s="24">
        <f>(Q65/$Q$11)*100</f>
        <v>225.00001607536126</v>
      </c>
      <c r="S65" s="9">
        <f>(M65-M64)/M64</f>
        <v>0.0026246719160105767</v>
      </c>
      <c r="T65" s="9">
        <f>(Q65-Q64)/Q64</f>
        <v>-0.005208404161283751</v>
      </c>
    </row>
    <row r="66" spans="1:20" ht="12.75">
      <c r="A66" s="1" t="s">
        <v>150</v>
      </c>
      <c r="B66" s="20" t="s">
        <v>287</v>
      </c>
      <c r="C66" s="24">
        <v>22</v>
      </c>
      <c r="D66" s="22">
        <f>C66/24</f>
        <v>0.9166666666666666</v>
      </c>
      <c r="E66" s="21">
        <f>5760/33</f>
        <v>174.54545454545453</v>
      </c>
      <c r="F66" s="12">
        <f>(11.25/12)*G66</f>
        <v>30.9375</v>
      </c>
      <c r="G66" s="24">
        <v>33</v>
      </c>
      <c r="H66" s="24">
        <f>349.9144/F66</f>
        <v>11.310364444444444</v>
      </c>
      <c r="I66" s="24">
        <f>H66*D66</f>
        <v>10.367834074074073</v>
      </c>
      <c r="J66" s="29">
        <v>20</v>
      </c>
      <c r="K66" s="29">
        <v>0</v>
      </c>
      <c r="L66" s="26">
        <f>(J66+(K66/12))/20</f>
        <v>1</v>
      </c>
      <c r="M66" s="31">
        <f>(1/L66)*I66</f>
        <v>10.367834074074073</v>
      </c>
      <c r="N66" s="12">
        <f>(11.25/12)*O66</f>
        <v>30.9375</v>
      </c>
      <c r="O66" s="24">
        <v>33</v>
      </c>
      <c r="P66" s="31">
        <f>O66*(23.875/C66)</f>
        <v>35.8125</v>
      </c>
      <c r="Q66" s="10">
        <f>(P66/0.373242)*(24/23.875)</f>
        <v>96.45216776247045</v>
      </c>
      <c r="R66" s="24">
        <f>(Q66/$Q$11)*100</f>
        <v>223.82814099163545</v>
      </c>
      <c r="S66" s="9">
        <f>(M66-M65)/M65</f>
        <v>0.005235602094240821</v>
      </c>
      <c r="T66" s="9">
        <f>(Q66-Q65)/Q65</f>
        <v>-0.0052083333333333435</v>
      </c>
    </row>
    <row r="67" spans="1:20" ht="12.75">
      <c r="A67" s="1" t="s">
        <v>153</v>
      </c>
      <c r="B67" s="20" t="s">
        <v>169</v>
      </c>
      <c r="C67" s="24">
        <v>23.875</v>
      </c>
      <c r="D67" s="22">
        <f>C67/24</f>
        <v>0.9947916666666666</v>
      </c>
      <c r="E67" s="21">
        <f>5760/73</f>
        <v>78.9041095890411</v>
      </c>
      <c r="F67" s="12">
        <f>(11.25/12)*G67</f>
        <v>68.4375</v>
      </c>
      <c r="G67" s="24">
        <f>36.5/0.5</f>
        <v>73</v>
      </c>
      <c r="H67" s="24">
        <f>349.9144/F67</f>
        <v>5.112904474885845</v>
      </c>
      <c r="I67" s="24">
        <f>H67*D67</f>
        <v>5.086274764079147</v>
      </c>
      <c r="J67" s="29">
        <v>10</v>
      </c>
      <c r="K67" s="29">
        <v>0</v>
      </c>
      <c r="L67" s="26">
        <f>(J67+(K67/12))/20</f>
        <v>0.5</v>
      </c>
      <c r="M67" s="31">
        <f>(1/L67)*I67</f>
        <v>10.172549528158294</v>
      </c>
      <c r="N67" s="12">
        <f>(11.25/12)*O67</f>
        <v>34.21875</v>
      </c>
      <c r="O67" s="24">
        <v>36.5</v>
      </c>
      <c r="P67" s="31">
        <f>O67*(23.875/C67)</f>
        <v>36.5</v>
      </c>
      <c r="Q67" s="10">
        <f>(P67/0.373242)*(24/23.875)</f>
        <v>98.30378005808507</v>
      </c>
      <c r="R67" s="24">
        <f>(Q67/$Q$11)*100</f>
        <v>228.1250162986302</v>
      </c>
      <c r="S67" s="9">
        <f>(M67-M66)/M66</f>
        <v>-0.018835616438356212</v>
      </c>
      <c r="T67" s="9">
        <f>(Q67-Q66)/Q66</f>
        <v>0.019197207678883058</v>
      </c>
    </row>
    <row r="68" spans="1:20" ht="12.75">
      <c r="A68" s="1"/>
      <c r="B68" s="20" t="s">
        <v>287</v>
      </c>
      <c r="C68" s="24">
        <v>22</v>
      </c>
      <c r="D68" s="22">
        <f>C68/24</f>
        <v>0.9166666666666666</v>
      </c>
      <c r="E68" s="21">
        <f>5760/33.5</f>
        <v>171.9402985074627</v>
      </c>
      <c r="F68" s="12">
        <f>(11.25/12)*G68</f>
        <v>31.40625</v>
      </c>
      <c r="G68" s="24">
        <f>33.5/1</f>
        <v>33.5</v>
      </c>
      <c r="H68" s="24">
        <f>349.9144/F68</f>
        <v>11.14155303482587</v>
      </c>
      <c r="I68" s="24">
        <f>H68*D68</f>
        <v>10.213090281923714</v>
      </c>
      <c r="J68" s="29">
        <v>20</v>
      </c>
      <c r="K68" s="29">
        <v>0</v>
      </c>
      <c r="L68" s="26">
        <f>(J68+(K68/12))/20</f>
        <v>1</v>
      </c>
      <c r="M68" s="31">
        <f>(1/L68)*I68</f>
        <v>10.213090281923714</v>
      </c>
      <c r="N68" s="12">
        <f>(11.25/12)*O68</f>
        <v>31.40625</v>
      </c>
      <c r="O68" s="24">
        <v>33.5</v>
      </c>
      <c r="P68" s="31">
        <f>O68*(23.875/C68)</f>
        <v>36.35511363636363</v>
      </c>
      <c r="Q68" s="10">
        <f>(P68/0.373242)*(24/23.875)</f>
        <v>97.91356424371999</v>
      </c>
      <c r="R68" s="24">
        <f>(Q68/$Q$11)*100</f>
        <v>227.2194764612056</v>
      </c>
      <c r="S68" s="9">
        <f>(M68-M67)/M67</f>
        <v>0.0039853090568102295</v>
      </c>
      <c r="T68" s="9">
        <f>(Q68-Q67)/Q67</f>
        <v>-0.00396948941469504</v>
      </c>
    </row>
    <row r="69" spans="1:15" ht="12.75">
      <c r="A69" s="1"/>
      <c r="B69" s="20"/>
      <c r="C69" s="24"/>
      <c r="E69" s="21"/>
      <c r="G69" s="24"/>
      <c r="J69" s="29"/>
      <c r="K69" s="29"/>
      <c r="O69" s="24"/>
    </row>
    <row r="70" spans="1:15" ht="12.75">
      <c r="A70" s="1"/>
      <c r="B70" s="20"/>
      <c r="C70" s="24"/>
      <c r="E70" s="21"/>
      <c r="G70" s="24"/>
      <c r="J70" s="29"/>
      <c r="K70" s="29"/>
      <c r="O70" s="24"/>
    </row>
    <row r="71" spans="1:15" ht="12.75">
      <c r="A71" s="1"/>
      <c r="B71" s="20"/>
      <c r="C71" s="24"/>
      <c r="E71" s="21"/>
      <c r="G71" s="24"/>
      <c r="J71" s="29"/>
      <c r="K71" s="29"/>
      <c r="O71" s="24"/>
    </row>
    <row r="72" spans="1:15" ht="12.75">
      <c r="A72" s="1"/>
      <c r="B72" s="20"/>
      <c r="C72" s="24"/>
      <c r="E72" s="21"/>
      <c r="G72" s="24"/>
      <c r="J72" s="29"/>
      <c r="K72" s="29"/>
      <c r="O72" s="24"/>
    </row>
    <row r="73" spans="1:15" ht="12.75">
      <c r="A73" s="1"/>
      <c r="B73" s="20"/>
      <c r="C73" s="24"/>
      <c r="E73" s="21"/>
      <c r="G73" s="24"/>
      <c r="J73" s="29"/>
      <c r="K73" s="29"/>
      <c r="O73" s="24"/>
    </row>
    <row r="74" spans="1:15" ht="12.75">
      <c r="A74" s="1"/>
      <c r="B74" s="20"/>
      <c r="C74" s="24"/>
      <c r="E74" s="21"/>
      <c r="G74" s="24"/>
      <c r="J74" s="29"/>
      <c r="K74" s="29"/>
      <c r="O74" s="24"/>
    </row>
    <row r="75" spans="1:15" ht="12.75">
      <c r="A75" s="1"/>
      <c r="B75" s="20"/>
      <c r="C75" s="24"/>
      <c r="E75" s="21"/>
      <c r="G75" s="24"/>
      <c r="J75" s="29"/>
      <c r="K75" s="29"/>
      <c r="O75" s="24"/>
    </row>
    <row r="76" spans="1:15" ht="12.75">
      <c r="A76" s="1"/>
      <c r="B76" s="20"/>
      <c r="C76" s="24"/>
      <c r="E76" s="21"/>
      <c r="G76" s="24"/>
      <c r="J76" s="29"/>
      <c r="K76" s="29"/>
      <c r="O76" s="24"/>
    </row>
    <row r="77" spans="1:15" ht="12.75">
      <c r="A77" s="1"/>
      <c r="B77" s="20"/>
      <c r="C77" s="24"/>
      <c r="E77" s="21"/>
      <c r="G77" s="24"/>
      <c r="J77" s="29"/>
      <c r="K77" s="29"/>
      <c r="O77" s="24"/>
    </row>
    <row r="78" spans="1:15" ht="12.75">
      <c r="A78" s="1"/>
      <c r="B78" s="20"/>
      <c r="C78" s="24"/>
      <c r="E78" s="21"/>
      <c r="G78" s="24"/>
      <c r="J78" s="29"/>
      <c r="K78" s="29"/>
      <c r="O78" s="24"/>
    </row>
    <row r="79" spans="1:15" ht="12.75">
      <c r="A79" s="1"/>
      <c r="B79" s="20"/>
      <c r="C79" s="24"/>
      <c r="E79" s="21"/>
      <c r="G79" s="24"/>
      <c r="J79" s="29"/>
      <c r="K79" s="29"/>
      <c r="O79" s="24"/>
    </row>
    <row r="80" spans="1:15" ht="12.75">
      <c r="A80" s="1"/>
      <c r="B80" s="20"/>
      <c r="C80" s="24"/>
      <c r="E80" s="21"/>
      <c r="G80" s="24"/>
      <c r="J80" s="29"/>
      <c r="K80" s="29"/>
      <c r="O80" s="24"/>
    </row>
    <row r="81" spans="1:15" ht="12.75">
      <c r="A81" s="1"/>
      <c r="B81" s="20"/>
      <c r="C81" s="24"/>
      <c r="E81" s="21"/>
      <c r="G81" s="24"/>
      <c r="J81" s="29"/>
      <c r="K81" s="29"/>
      <c r="O81" s="24"/>
    </row>
    <row r="82" spans="1:15" ht="12.75">
      <c r="A82" s="1"/>
      <c r="B82" s="20"/>
      <c r="C82" s="24"/>
      <c r="E82" s="21"/>
      <c r="G82" s="24"/>
      <c r="J82" s="29"/>
      <c r="K82" s="29"/>
      <c r="O82" s="24"/>
    </row>
    <row r="83" spans="1:15" ht="12.75">
      <c r="A83" s="1"/>
      <c r="B83" s="20"/>
      <c r="C83" s="24"/>
      <c r="E83" s="21"/>
      <c r="G83" s="24"/>
      <c r="J83" s="29"/>
      <c r="K83" s="29"/>
      <c r="O83" s="24"/>
    </row>
    <row r="84" spans="1:15" ht="12.75">
      <c r="A84" s="1"/>
      <c r="B84" s="20"/>
      <c r="C84" s="24"/>
      <c r="E84" s="21"/>
      <c r="G84" s="24"/>
      <c r="J84" s="29"/>
      <c r="K84" s="29"/>
      <c r="O84" s="24"/>
    </row>
    <row r="85" spans="1:15" ht="12.75">
      <c r="A85" s="1"/>
      <c r="B85" s="20"/>
      <c r="C85" s="24"/>
      <c r="E85" s="21"/>
      <c r="G85" s="24"/>
      <c r="J85" s="29"/>
      <c r="K85" s="29"/>
      <c r="O85" s="24"/>
    </row>
    <row r="86" spans="1:15" ht="12.75">
      <c r="A86" s="1"/>
      <c r="B86" s="20"/>
      <c r="C86" s="24"/>
      <c r="E86" s="21"/>
      <c r="G86" s="24"/>
      <c r="J86" s="29"/>
      <c r="K86" s="29"/>
      <c r="O86" s="24"/>
    </row>
    <row r="87" spans="1:15" ht="12.75">
      <c r="A87" s="1"/>
      <c r="B87" s="20"/>
      <c r="C87" s="24"/>
      <c r="E87" s="21"/>
      <c r="G87" s="24"/>
      <c r="J87" s="29"/>
      <c r="K87" s="29"/>
      <c r="O87" s="24"/>
    </row>
    <row r="88" spans="1:15" ht="12.75">
      <c r="A88" s="1"/>
      <c r="B88" s="20"/>
      <c r="C88" s="24"/>
      <c r="E88" s="21"/>
      <c r="G88" s="24"/>
      <c r="J88" s="29"/>
      <c r="K88" s="29"/>
      <c r="O88" s="24"/>
    </row>
    <row r="89" spans="1:15" ht="12.75">
      <c r="A89" s="1"/>
      <c r="B89" s="20"/>
      <c r="C89" s="24"/>
      <c r="E89" s="21"/>
      <c r="G89" s="24"/>
      <c r="J89" s="29"/>
      <c r="K89" s="29"/>
      <c r="O89" s="24"/>
    </row>
    <row r="90" spans="1:15" ht="12.75">
      <c r="A90" s="1"/>
      <c r="B90" s="20"/>
      <c r="C90" s="24"/>
      <c r="E90" s="21"/>
      <c r="G90" s="24"/>
      <c r="J90" s="29"/>
      <c r="K90" s="29"/>
      <c r="O90" s="24"/>
    </row>
    <row r="91" spans="1:15" ht="12.75">
      <c r="A91" s="1"/>
      <c r="B91" s="20"/>
      <c r="C91" s="24"/>
      <c r="E91" s="21"/>
      <c r="G91" s="24"/>
      <c r="J91" s="29"/>
      <c r="K91" s="29"/>
      <c r="O91" s="24"/>
    </row>
    <row r="92" spans="1:15" ht="12.75">
      <c r="A92" s="1"/>
      <c r="B92" s="20"/>
      <c r="C92" s="24"/>
      <c r="E92" s="21"/>
      <c r="G92" s="24"/>
      <c r="J92" s="29"/>
      <c r="K92" s="29"/>
      <c r="O92" s="24"/>
    </row>
    <row r="93" spans="1:15" ht="12.75">
      <c r="A93" s="1"/>
      <c r="B93" s="20"/>
      <c r="C93" s="24"/>
      <c r="E93" s="21"/>
      <c r="G93" s="24"/>
      <c r="J93" s="29"/>
      <c r="K93" s="29"/>
      <c r="O93" s="24"/>
    </row>
    <row r="94" spans="1:15" ht="12.75">
      <c r="A94" s="1"/>
      <c r="B94" s="20"/>
      <c r="C94" s="24"/>
      <c r="E94" s="21"/>
      <c r="G94" s="24"/>
      <c r="J94" s="29"/>
      <c r="K94" s="29"/>
      <c r="O94" s="24"/>
    </row>
    <row r="95" spans="1:15" ht="12.75">
      <c r="A95" s="1"/>
      <c r="B95" s="20"/>
      <c r="C95" s="24"/>
      <c r="E95" s="21"/>
      <c r="G95" s="24"/>
      <c r="J95" s="29"/>
      <c r="K95" s="29"/>
      <c r="O95" s="24"/>
    </row>
    <row r="96" spans="1:15" ht="12.75">
      <c r="A96" s="1"/>
      <c r="B96" s="20"/>
      <c r="C96" s="24"/>
      <c r="E96" s="21"/>
      <c r="G96" s="24"/>
      <c r="J96" s="29"/>
      <c r="K96" s="29"/>
      <c r="O96" s="24"/>
    </row>
    <row r="97" spans="1:15" ht="12.75">
      <c r="A97" s="1"/>
      <c r="B97" s="20"/>
      <c r="C97" s="24"/>
      <c r="E97" s="21"/>
      <c r="G97" s="24"/>
      <c r="J97" s="29"/>
      <c r="K97" s="29"/>
      <c r="O97" s="24"/>
    </row>
    <row r="98" spans="1:15" ht="12.75">
      <c r="A98" s="1"/>
      <c r="B98" s="20"/>
      <c r="C98" s="24"/>
      <c r="E98" s="21"/>
      <c r="G98" s="24"/>
      <c r="J98" s="29"/>
      <c r="K98" s="29"/>
      <c r="O98" s="24"/>
    </row>
    <row r="99" spans="1:15" ht="12.75">
      <c r="A99" s="1"/>
      <c r="B99" s="20"/>
      <c r="C99" s="24"/>
      <c r="E99" s="21"/>
      <c r="G99" s="24"/>
      <c r="J99" s="29"/>
      <c r="K99" s="29"/>
      <c r="O99" s="24"/>
    </row>
    <row r="100" spans="1:15" ht="12.75">
      <c r="A100" s="1"/>
      <c r="B100" s="20"/>
      <c r="C100" s="24"/>
      <c r="E100" s="21"/>
      <c r="G100" s="24"/>
      <c r="J100" s="29"/>
      <c r="K100" s="29"/>
      <c r="O100" s="24"/>
    </row>
    <row r="101" spans="1:15" ht="12.75">
      <c r="A101" s="1"/>
      <c r="B101" s="20"/>
      <c r="C101" s="24"/>
      <c r="E101" s="21"/>
      <c r="G101" s="24"/>
      <c r="J101" s="29"/>
      <c r="K101" s="29"/>
      <c r="O101" s="24"/>
    </row>
    <row r="102" spans="1:15" ht="12.75">
      <c r="A102" s="1"/>
      <c r="B102" s="20"/>
      <c r="C102" s="24"/>
      <c r="E102" s="21"/>
      <c r="G102" s="24"/>
      <c r="J102" s="29"/>
      <c r="K102" s="29"/>
      <c r="O102" s="24"/>
    </row>
    <row r="103" spans="1:15" ht="12.75">
      <c r="A103" s="1"/>
      <c r="B103" s="20"/>
      <c r="C103" s="24"/>
      <c r="E103" s="21"/>
      <c r="G103" s="24"/>
      <c r="J103" s="29"/>
      <c r="K103" s="29"/>
      <c r="O103" s="24"/>
    </row>
    <row r="104" spans="1:15" ht="12.75">
      <c r="A104" s="1"/>
      <c r="B104" s="20"/>
      <c r="C104" s="24"/>
      <c r="E104" s="21"/>
      <c r="G104" s="24"/>
      <c r="J104" s="29"/>
      <c r="K104" s="29"/>
      <c r="O104" s="24"/>
    </row>
    <row r="105" spans="1:15" ht="12.75">
      <c r="A105" s="1"/>
      <c r="B105" s="20"/>
      <c r="C105" s="24"/>
      <c r="E105" s="21"/>
      <c r="G105" s="24"/>
      <c r="J105" s="29"/>
      <c r="K105" s="29"/>
      <c r="O105" s="24"/>
    </row>
    <row r="106" spans="1:15" ht="12.75">
      <c r="A106" s="1"/>
      <c r="B106" s="20"/>
      <c r="C106" s="24"/>
      <c r="E106" s="21"/>
      <c r="G106" s="24"/>
      <c r="J106" s="29"/>
      <c r="K106" s="29"/>
      <c r="O106" s="24"/>
    </row>
    <row r="107" spans="1:15" ht="12.75">
      <c r="A107" s="1"/>
      <c r="B107" s="20"/>
      <c r="C107" s="24"/>
      <c r="E107" s="21"/>
      <c r="G107" s="24"/>
      <c r="J107" s="29"/>
      <c r="K107" s="29"/>
      <c r="O107" s="24"/>
    </row>
    <row r="108" spans="1:15" ht="12.75">
      <c r="A108" s="1"/>
      <c r="B108" s="20"/>
      <c r="C108" s="24"/>
      <c r="E108" s="21"/>
      <c r="G108" s="24"/>
      <c r="J108" s="29"/>
      <c r="K108" s="29"/>
      <c r="O108" s="24"/>
    </row>
    <row r="109" spans="1:15" ht="12.75">
      <c r="A109" s="1"/>
      <c r="B109" s="20"/>
      <c r="C109" s="24"/>
      <c r="E109" s="21"/>
      <c r="G109" s="24"/>
      <c r="J109" s="29"/>
      <c r="K109" s="29"/>
      <c r="O109" s="24"/>
    </row>
    <row r="110" spans="1:15" ht="12.75">
      <c r="A110" s="1"/>
      <c r="B110" s="20"/>
      <c r="C110" s="24"/>
      <c r="E110" s="21"/>
      <c r="G110" s="24"/>
      <c r="J110" s="29"/>
      <c r="K110" s="29"/>
      <c r="O110" s="24"/>
    </row>
    <row r="111" spans="1:15" ht="12.75">
      <c r="A111" s="1"/>
      <c r="B111" s="20"/>
      <c r="C111" s="24"/>
      <c r="E111" s="21"/>
      <c r="G111" s="24"/>
      <c r="J111" s="29"/>
      <c r="K111" s="29"/>
      <c r="O111" s="24"/>
    </row>
    <row r="112" spans="1:15" ht="12.75">
      <c r="A112" s="1"/>
      <c r="B112" s="20"/>
      <c r="C112" s="24"/>
      <c r="E112" s="21"/>
      <c r="G112" s="24"/>
      <c r="J112" s="29"/>
      <c r="K112" s="29"/>
      <c r="O112" s="24"/>
    </row>
    <row r="113" spans="1:15" ht="12.75">
      <c r="A113" s="1"/>
      <c r="B113" s="20"/>
      <c r="C113" s="24"/>
      <c r="E113" s="21"/>
      <c r="G113" s="24"/>
      <c r="J113" s="29"/>
      <c r="K113" s="29"/>
      <c r="O113" s="24"/>
    </row>
    <row r="114" spans="1:15" ht="12.75">
      <c r="A114" s="1"/>
      <c r="B114" s="20"/>
      <c r="C114" s="24"/>
      <c r="E114" s="21"/>
      <c r="G114" s="24"/>
      <c r="J114" s="29"/>
      <c r="K114" s="29"/>
      <c r="O114" s="24"/>
    </row>
    <row r="115" spans="1:15" ht="12.75">
      <c r="A115" s="1"/>
      <c r="B115" s="20"/>
      <c r="C115" s="24"/>
      <c r="E115" s="21"/>
      <c r="G115" s="24"/>
      <c r="J115" s="29"/>
      <c r="K115" s="29"/>
      <c r="O115" s="24"/>
    </row>
    <row r="116" spans="1:15" ht="12.75">
      <c r="A116" s="1"/>
      <c r="B116" s="20"/>
      <c r="C116" s="24"/>
      <c r="E116" s="21"/>
      <c r="G116" s="24"/>
      <c r="J116" s="29"/>
      <c r="K116" s="29"/>
      <c r="O116" s="24"/>
    </row>
    <row r="117" spans="1:15" ht="12.75">
      <c r="A117" s="1"/>
      <c r="B117" s="20"/>
      <c r="C117" s="24"/>
      <c r="E117" s="21"/>
      <c r="G117" s="24"/>
      <c r="J117" s="29"/>
      <c r="K117" s="29"/>
      <c r="O117" s="24"/>
    </row>
    <row r="118" spans="1:15" ht="12.75">
      <c r="A118" s="1"/>
      <c r="B118" s="20"/>
      <c r="C118" s="24"/>
      <c r="E118" s="21"/>
      <c r="G118" s="24"/>
      <c r="J118" s="29"/>
      <c r="K118" s="29"/>
      <c r="O118" s="24"/>
    </row>
    <row r="119" spans="1:15" ht="12.75">
      <c r="A119" s="1"/>
      <c r="B119" s="20"/>
      <c r="C119" s="24"/>
      <c r="E119" s="21"/>
      <c r="G119" s="24"/>
      <c r="J119" s="29"/>
      <c r="K119" s="29"/>
      <c r="O119" s="24"/>
    </row>
    <row r="120" spans="1:15" ht="12.75">
      <c r="A120" s="1"/>
      <c r="B120" s="20"/>
      <c r="C120" s="24"/>
      <c r="E120" s="21"/>
      <c r="G120" s="24"/>
      <c r="J120" s="29"/>
      <c r="K120" s="29"/>
      <c r="O120" s="24"/>
    </row>
    <row r="121" spans="1:15" ht="12.75">
      <c r="A121" s="1"/>
      <c r="B121" s="20"/>
      <c r="C121" s="24"/>
      <c r="E121" s="21"/>
      <c r="G121" s="24"/>
      <c r="J121" s="29"/>
      <c r="K121" s="29"/>
      <c r="O121" s="24"/>
    </row>
    <row r="122" spans="1:15" ht="12.75">
      <c r="A122" s="1"/>
      <c r="B122" s="20"/>
      <c r="C122" s="24"/>
      <c r="E122" s="21"/>
      <c r="G122" s="24"/>
      <c r="J122" s="29"/>
      <c r="K122" s="29"/>
      <c r="O122" s="24"/>
    </row>
    <row r="123" spans="1:15" ht="12.75">
      <c r="A123" s="1"/>
      <c r="B123" s="20"/>
      <c r="C123" s="24"/>
      <c r="E123" s="21"/>
      <c r="G123" s="24"/>
      <c r="J123" s="29"/>
      <c r="K123" s="29"/>
      <c r="O123" s="24"/>
    </row>
    <row r="124" spans="1:15" ht="12.75">
      <c r="A124" s="1"/>
      <c r="B124" s="20"/>
      <c r="C124" s="24"/>
      <c r="E124" s="21"/>
      <c r="G124" s="24"/>
      <c r="J124" s="29"/>
      <c r="K124" s="29"/>
      <c r="O124" s="24"/>
    </row>
    <row r="125" spans="1:15" ht="12.75">
      <c r="A125" s="1"/>
      <c r="B125" s="20"/>
      <c r="C125" s="24"/>
      <c r="E125" s="21"/>
      <c r="G125" s="24"/>
      <c r="J125" s="29"/>
      <c r="K125" s="29"/>
      <c r="O125" s="24"/>
    </row>
    <row r="126" spans="1:15" ht="12.75">
      <c r="A126" s="1"/>
      <c r="B126" s="20"/>
      <c r="C126" s="24"/>
      <c r="E126" s="21"/>
      <c r="G126" s="24"/>
      <c r="J126" s="29"/>
      <c r="K126" s="29"/>
      <c r="O126" s="24"/>
    </row>
    <row r="127" spans="1:15" ht="12.75">
      <c r="A127" s="1"/>
      <c r="B127" s="20"/>
      <c r="C127" s="24"/>
      <c r="E127" s="21"/>
      <c r="G127" s="24"/>
      <c r="J127" s="29"/>
      <c r="K127" s="29"/>
      <c r="O127" s="24"/>
    </row>
    <row r="128" spans="1:15" ht="12.75">
      <c r="A128" s="1"/>
      <c r="B128" s="20"/>
      <c r="C128" s="24"/>
      <c r="E128" s="21"/>
      <c r="G128" s="24"/>
      <c r="J128" s="29"/>
      <c r="K128" s="29"/>
      <c r="O128" s="2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509"/>
  <sheetViews>
    <sheetView defaultGridColor="0" zoomScale="90" zoomScaleNormal="90" colorId="0" workbookViewId="0" topLeftCell="A1">
      <pane xSplit="1" ySplit="7" topLeftCell="B8" activePane="bottomRight" state="frozen"/>
      <selection pane="bottomRight" activeCell="B8" sqref="B8"/>
    </sheetView>
  </sheetViews>
  <sheetFormatPr defaultColWidth="9.140625" defaultRowHeight="12.75"/>
  <cols>
    <col min="1" max="1" width="8.421875" style="33" customWidth="1"/>
    <col min="2" max="2" width="8.421875" style="20" customWidth="1"/>
    <col min="3" max="3" width="10.7109375" style="34" customWidth="1"/>
    <col min="4" max="4" width="10.57421875" style="34" customWidth="1"/>
    <col min="5" max="5" width="10.7109375" style="34" customWidth="1"/>
    <col min="6" max="6" width="12.8515625" style="34" customWidth="1"/>
    <col min="7" max="7" width="8.421875" style="20" customWidth="1"/>
    <col min="8" max="8" width="10.7109375" style="36" customWidth="1"/>
    <col min="9" max="9" width="11.8515625" style="34" customWidth="1"/>
    <col min="10" max="10" width="10.57421875" style="34" customWidth="1"/>
    <col min="11" max="11" width="9.7109375" style="34" customWidth="1"/>
    <col min="12" max="12" width="10.7109375" style="34" customWidth="1"/>
    <col min="13" max="13" width="11.8515625" style="34" customWidth="1"/>
    <col min="15" max="16" width="8.421875" style="4" customWidth="1"/>
  </cols>
  <sheetData>
    <row r="1" ht="12.75">
      <c r="C1" s="35" t="s">
        <v>2</v>
      </c>
    </row>
    <row r="2" spans="1:3" ht="12.75">
      <c r="A2" s="33"/>
      <c r="C2" s="36"/>
    </row>
    <row r="3" spans="1:9" ht="12.75">
      <c r="A3" s="33"/>
      <c r="C3" s="37" t="s">
        <v>285</v>
      </c>
      <c r="H3" s="34"/>
      <c r="I3" s="35" t="s">
        <v>201</v>
      </c>
    </row>
    <row r="4" spans="1:16" ht="12.75">
      <c r="A4" s="33"/>
      <c r="C4" s="34"/>
      <c r="H4" s="6"/>
      <c r="I4" s="34"/>
      <c r="M4" s="35" t="s">
        <v>297</v>
      </c>
      <c r="O4" s="5" t="s">
        <v>266</v>
      </c>
      <c r="P4" s="5" t="s">
        <v>266</v>
      </c>
    </row>
    <row r="5" spans="1:16" ht="12.75">
      <c r="A5" s="33" t="s">
        <v>317</v>
      </c>
      <c r="B5" s="1" t="s">
        <v>301</v>
      </c>
      <c r="C5" s="35" t="s">
        <v>241</v>
      </c>
      <c r="D5" s="35" t="s">
        <v>271</v>
      </c>
      <c r="E5" s="35" t="s">
        <v>296</v>
      </c>
      <c r="F5" s="35" t="s">
        <v>307</v>
      </c>
      <c r="G5" s="37"/>
      <c r="H5" s="1" t="s">
        <v>301</v>
      </c>
      <c r="I5" s="35" t="s">
        <v>241</v>
      </c>
      <c r="J5" s="35" t="s">
        <v>271</v>
      </c>
      <c r="K5" s="35" t="s">
        <v>296</v>
      </c>
      <c r="L5" s="35" t="s">
        <v>307</v>
      </c>
      <c r="M5" s="35" t="s">
        <v>312</v>
      </c>
      <c r="O5" s="5" t="s">
        <v>282</v>
      </c>
      <c r="P5" s="5" t="s">
        <v>198</v>
      </c>
    </row>
    <row r="6" spans="1:16" ht="12.75">
      <c r="A6" s="33"/>
      <c r="B6" s="1" t="s">
        <v>269</v>
      </c>
      <c r="C6" s="35" t="s">
        <v>237</v>
      </c>
      <c r="D6" s="35" t="s">
        <v>237</v>
      </c>
      <c r="E6" s="35" t="s">
        <v>239</v>
      </c>
      <c r="F6" s="35" t="s">
        <v>8</v>
      </c>
      <c r="G6" s="20"/>
      <c r="H6" s="1" t="s">
        <v>269</v>
      </c>
      <c r="I6" s="35" t="s">
        <v>237</v>
      </c>
      <c r="J6" s="35" t="s">
        <v>237</v>
      </c>
      <c r="K6" s="35" t="s">
        <v>239</v>
      </c>
      <c r="L6" s="35" t="s">
        <v>8</v>
      </c>
      <c r="M6" s="35" t="s">
        <v>4</v>
      </c>
      <c r="O6" s="4"/>
      <c r="P6" s="4"/>
    </row>
    <row r="7" spans="1:16" ht="12.75">
      <c r="A7" s="38"/>
      <c r="B7" s="20"/>
      <c r="C7" s="36"/>
      <c r="D7" s="36"/>
      <c r="E7" s="36"/>
      <c r="F7" s="36"/>
      <c r="G7" s="20"/>
      <c r="H7" s="36"/>
      <c r="I7" s="36"/>
      <c r="J7" s="36"/>
      <c r="K7" s="36"/>
      <c r="L7" s="36"/>
      <c r="M7" s="36"/>
      <c r="O7" s="8"/>
      <c r="P7" s="8"/>
    </row>
    <row r="8" spans="1:16" ht="12.75">
      <c r="A8" s="33">
        <v>1235</v>
      </c>
      <c r="B8" s="20"/>
      <c r="C8" s="34">
        <v>5830.525</v>
      </c>
      <c r="D8" s="34">
        <v>7205.803</v>
      </c>
      <c r="E8" s="34">
        <f>C8+D8</f>
        <v>13036.328</v>
      </c>
      <c r="F8" s="34">
        <f>3.115305029*E8</f>
        <v>40612.13817809351</v>
      </c>
      <c r="G8" s="20"/>
      <c r="H8" s="36"/>
      <c r="I8" s="34"/>
      <c r="J8" s="34"/>
      <c r="K8" s="34"/>
      <c r="L8" s="34"/>
      <c r="M8" s="34">
        <f>F8+L8</f>
        <v>40612.13817809351</v>
      </c>
      <c r="O8" s="4">
        <f>F8/M8</f>
        <v>1</v>
      </c>
      <c r="P8" s="4">
        <f>L8/M8</f>
        <v>0</v>
      </c>
    </row>
    <row r="9" spans="1:16" ht="12.75">
      <c r="A9" s="33">
        <v>1236</v>
      </c>
      <c r="B9" s="20"/>
      <c r="C9" s="34">
        <v>6060.251</v>
      </c>
      <c r="D9" s="34">
        <v>9682.127</v>
      </c>
      <c r="E9" s="34">
        <f>C9+D9</f>
        <v>15742.378</v>
      </c>
      <c r="F9" s="34">
        <f>3.115305029*E9</f>
        <v>49042.30935181896</v>
      </c>
      <c r="G9" s="20"/>
      <c r="H9" s="36"/>
      <c r="I9" s="34"/>
      <c r="J9" s="34"/>
      <c r="K9" s="34"/>
      <c r="L9" s="34"/>
      <c r="M9" s="34">
        <f>F9+L9</f>
        <v>49042.30935181896</v>
      </c>
      <c r="O9" s="4">
        <f>F9/M9</f>
        <v>1</v>
      </c>
      <c r="P9" s="4">
        <f>L9/M9</f>
        <v>0</v>
      </c>
    </row>
    <row r="10" spans="1:16" ht="12.75">
      <c r="A10" s="33">
        <v>1237</v>
      </c>
      <c r="B10" s="20"/>
      <c r="C10" s="34">
        <v>5587.814</v>
      </c>
      <c r="D10" s="34">
        <v>9969.993</v>
      </c>
      <c r="E10" s="34">
        <f>C10+D10</f>
        <v>15557.807</v>
      </c>
      <c r="F10" s="34">
        <f>3.115305029*E10</f>
        <v>48467.3143873114</v>
      </c>
      <c r="G10" s="20"/>
      <c r="H10" s="36"/>
      <c r="I10" s="34"/>
      <c r="J10" s="34"/>
      <c r="K10" s="34"/>
      <c r="L10" s="34"/>
      <c r="M10" s="34">
        <f>F10+L10</f>
        <v>48467.3143873114</v>
      </c>
      <c r="O10" s="4">
        <f>F10/M10</f>
        <v>1</v>
      </c>
      <c r="P10" s="4">
        <f>L10/M10</f>
        <v>0</v>
      </c>
    </row>
    <row r="11" spans="1:16" ht="12.75">
      <c r="A11" s="33">
        <v>1238</v>
      </c>
      <c r="B11" s="20"/>
      <c r="C11" s="34">
        <v>3609.211</v>
      </c>
      <c r="D11" s="34">
        <v>5892.039</v>
      </c>
      <c r="E11" s="34">
        <f>C11+D11</f>
        <v>9501.25</v>
      </c>
      <c r="F11" s="34">
        <f>3.115305029*E11</f>
        <v>29599.29190678625</v>
      </c>
      <c r="G11" s="20"/>
      <c r="H11" s="36"/>
      <c r="I11" s="34"/>
      <c r="J11" s="34"/>
      <c r="K11" s="34"/>
      <c r="L11" s="34"/>
      <c r="M11" s="34">
        <f>F11+L11</f>
        <v>29599.29190678625</v>
      </c>
      <c r="O11" s="4">
        <f>F11/M11</f>
        <v>1</v>
      </c>
      <c r="P11" s="4">
        <f>L11/M11</f>
        <v>0</v>
      </c>
    </row>
    <row r="12" spans="1:16" ht="12.75">
      <c r="A12" s="33">
        <v>1239</v>
      </c>
      <c r="B12" s="20"/>
      <c r="C12" s="34">
        <v>3264.275</v>
      </c>
      <c r="D12" s="34">
        <v>7022.605</v>
      </c>
      <c r="E12" s="34">
        <f>C12+D12</f>
        <v>10286.88</v>
      </c>
      <c r="F12" s="34">
        <f>3.115305029*E12</f>
        <v>32046.76899671952</v>
      </c>
      <c r="G12" s="20"/>
      <c r="H12" s="36"/>
      <c r="I12" s="34"/>
      <c r="J12" s="34"/>
      <c r="K12" s="34"/>
      <c r="L12" s="34"/>
      <c r="M12" s="34">
        <f>F12+L12</f>
        <v>32046.76899671952</v>
      </c>
      <c r="O12" s="4">
        <f>F12/M12</f>
        <v>1</v>
      </c>
      <c r="P12" s="4">
        <f>L12/M12</f>
        <v>0</v>
      </c>
    </row>
    <row r="13" spans="1:16" ht="12.75">
      <c r="A13" s="33">
        <v>1240</v>
      </c>
      <c r="B13" s="20"/>
      <c r="C13" s="34">
        <v>5359.772</v>
      </c>
      <c r="D13" s="34">
        <v>8771.829</v>
      </c>
      <c r="E13" s="34">
        <f>C13+D13</f>
        <v>14131.600999999999</v>
      </c>
      <c r="F13" s="34">
        <f>3.115305029*E13</f>
        <v>44024.24766312142</v>
      </c>
      <c r="G13" s="20"/>
      <c r="H13" s="36"/>
      <c r="I13" s="34"/>
      <c r="J13" s="34"/>
      <c r="K13" s="34"/>
      <c r="L13" s="34"/>
      <c r="M13" s="34">
        <f>F13+L13</f>
        <v>44024.24766312142</v>
      </c>
      <c r="O13" s="4">
        <f>F13/M13</f>
        <v>1</v>
      </c>
      <c r="P13" s="4">
        <f>L13/M13</f>
        <v>0</v>
      </c>
    </row>
    <row r="14" spans="1:16" ht="12.75">
      <c r="A14" s="33">
        <v>1241</v>
      </c>
      <c r="B14" s="20"/>
      <c r="C14" s="34">
        <v>5247.244</v>
      </c>
      <c r="D14" s="34">
        <v>6675.847</v>
      </c>
      <c r="E14" s="34">
        <f>C14+D14</f>
        <v>11923.091</v>
      </c>
      <c r="F14" s="34">
        <f>3.115305029*E14</f>
        <v>37144.06535352464</v>
      </c>
      <c r="G14" s="20"/>
      <c r="H14" s="36"/>
      <c r="I14" s="34"/>
      <c r="J14" s="34"/>
      <c r="K14" s="34"/>
      <c r="L14" s="34"/>
      <c r="M14" s="34">
        <f>F14+L14</f>
        <v>37144.06535352464</v>
      </c>
      <c r="O14" s="4">
        <f>F14/M14</f>
        <v>1</v>
      </c>
      <c r="P14" s="4">
        <f>L14/M14</f>
        <v>0</v>
      </c>
    </row>
    <row r="15" spans="1:16" ht="12.75">
      <c r="A15" s="33">
        <v>1242</v>
      </c>
      <c r="B15" s="20"/>
      <c r="C15" s="34">
        <v>6036.354</v>
      </c>
      <c r="D15" s="34">
        <v>5153.62</v>
      </c>
      <c r="E15" s="34">
        <f>C15+D15</f>
        <v>11189.974</v>
      </c>
      <c r="F15" s="34">
        <f>3.115305029*E15</f>
        <v>34860.182276579246</v>
      </c>
      <c r="G15" s="20"/>
      <c r="H15" s="36"/>
      <c r="I15" s="34"/>
      <c r="J15" s="34"/>
      <c r="K15" s="34"/>
      <c r="L15" s="34"/>
      <c r="M15" s="34">
        <f>F15+L15</f>
        <v>34860.182276579246</v>
      </c>
      <c r="O15" s="4">
        <f>F15/M15</f>
        <v>1</v>
      </c>
      <c r="P15" s="4">
        <f>L15/M15</f>
        <v>0</v>
      </c>
    </row>
    <row r="16" spans="1:16" ht="12.75">
      <c r="A16" s="33">
        <v>1243</v>
      </c>
      <c r="B16" s="20"/>
      <c r="C16" s="34">
        <v>10222.631</v>
      </c>
      <c r="D16" s="34">
        <v>8838.722</v>
      </c>
      <c r="E16" s="34">
        <f>C16+D16</f>
        <v>19061.353</v>
      </c>
      <c r="F16" s="34">
        <f>3.115305029*E16</f>
        <v>59381.92886044423</v>
      </c>
      <c r="G16" s="20"/>
      <c r="H16" s="36"/>
      <c r="I16" s="34"/>
      <c r="J16" s="34"/>
      <c r="K16" s="34"/>
      <c r="L16" s="34"/>
      <c r="M16" s="34">
        <f>F16+L16</f>
        <v>59381.92886044423</v>
      </c>
      <c r="O16" s="4">
        <f>F16/M16</f>
        <v>1</v>
      </c>
      <c r="P16" s="4">
        <f>L16/M16</f>
        <v>0</v>
      </c>
    </row>
    <row r="17" spans="1:16" ht="12.75">
      <c r="A17" s="33">
        <v>1244</v>
      </c>
      <c r="B17" s="20"/>
      <c r="C17" s="34">
        <v>10597.144</v>
      </c>
      <c r="D17" s="34">
        <v>8258.218</v>
      </c>
      <c r="E17" s="34">
        <f>C17+D17</f>
        <v>18855.362</v>
      </c>
      <c r="F17" s="34">
        <f>3.115305029*E17</f>
        <v>58740.204062215504</v>
      </c>
      <c r="G17" s="20"/>
      <c r="H17" s="36"/>
      <c r="I17" s="34"/>
      <c r="J17" s="34"/>
      <c r="K17" s="34"/>
      <c r="L17" s="34"/>
      <c r="M17" s="34">
        <f>F17+L17</f>
        <v>58740.204062215504</v>
      </c>
      <c r="O17" s="4">
        <f>F17/M17</f>
        <v>1</v>
      </c>
      <c r="P17" s="4">
        <f>L17/M17</f>
        <v>0</v>
      </c>
    </row>
    <row r="18" spans="1:16" ht="12.75">
      <c r="A18" s="33">
        <v>1245</v>
      </c>
      <c r="B18" s="20"/>
      <c r="C18" s="34">
        <v>8252.405</v>
      </c>
      <c r="D18" s="34">
        <v>7487.992</v>
      </c>
      <c r="E18" s="34">
        <f>C18+D18</f>
        <v>15740.397</v>
      </c>
      <c r="F18" s="34">
        <f>3.115305029*E18</f>
        <v>49036.137932556514</v>
      </c>
      <c r="G18" s="20"/>
      <c r="H18" s="36"/>
      <c r="I18" s="34"/>
      <c r="J18" s="34"/>
      <c r="K18" s="34"/>
      <c r="L18" s="34"/>
      <c r="M18" s="34">
        <f>F18+L18</f>
        <v>49036.137932556514</v>
      </c>
      <c r="O18" s="4">
        <f>F18/M18</f>
        <v>1</v>
      </c>
      <c r="P18" s="4">
        <f>L18/M18</f>
        <v>0</v>
      </c>
    </row>
    <row r="19" spans="1:16" ht="12.75">
      <c r="A19" s="33">
        <v>1246</v>
      </c>
      <c r="B19" s="20"/>
      <c r="C19" s="34">
        <v>7643.707</v>
      </c>
      <c r="D19" s="34">
        <v>7095.758</v>
      </c>
      <c r="E19" s="34">
        <f>C19+D19</f>
        <v>14739.465</v>
      </c>
      <c r="F19" s="34">
        <f>3.115305029*E19</f>
        <v>45917.92943926949</v>
      </c>
      <c r="G19" s="20"/>
      <c r="H19" s="36"/>
      <c r="I19" s="34"/>
      <c r="J19" s="34"/>
      <c r="K19" s="34"/>
      <c r="L19" s="34"/>
      <c r="M19" s="34">
        <f>F19+L19</f>
        <v>45917.92943926949</v>
      </c>
      <c r="O19" s="4">
        <f>F19/M19</f>
        <v>1</v>
      </c>
      <c r="P19" s="4">
        <f>L19/M19</f>
        <v>0</v>
      </c>
    </row>
    <row r="20" spans="1:16" ht="12.75">
      <c r="A20" s="33">
        <v>1247</v>
      </c>
      <c r="B20" s="20"/>
      <c r="C20" s="34">
        <v>7903.533</v>
      </c>
      <c r="D20" s="34">
        <v>5717.117</v>
      </c>
      <c r="E20" s="34">
        <f>C20+D20</f>
        <v>13620.650000000001</v>
      </c>
      <c r="F20" s="34">
        <f>3.115305029*E20</f>
        <v>42432.479443248856</v>
      </c>
      <c r="G20" s="20"/>
      <c r="H20" s="36"/>
      <c r="I20" s="34"/>
      <c r="J20" s="34"/>
      <c r="K20" s="34"/>
      <c r="L20" s="34"/>
      <c r="M20" s="34">
        <f>F20+L20</f>
        <v>42432.479443248856</v>
      </c>
      <c r="O20" s="4">
        <f>F20/M20</f>
        <v>1</v>
      </c>
      <c r="P20" s="4">
        <f>L20/M20</f>
        <v>0</v>
      </c>
    </row>
    <row r="21" spans="1:16" ht="12.75">
      <c r="A21" s="33">
        <v>1248</v>
      </c>
      <c r="B21" s="20"/>
      <c r="C21" s="34">
        <v>22142.547</v>
      </c>
      <c r="D21" s="34">
        <v>12322.106</v>
      </c>
      <c r="E21" s="34">
        <f>C21+D21</f>
        <v>34464.653</v>
      </c>
      <c r="F21" s="34">
        <f>3.115305029*E21</f>
        <v>107367.90681363993</v>
      </c>
      <c r="G21" s="20"/>
      <c r="H21" s="36"/>
      <c r="I21" s="34"/>
      <c r="J21" s="34"/>
      <c r="K21" s="34"/>
      <c r="L21" s="34"/>
      <c r="M21" s="34">
        <f>F21+L21</f>
        <v>107367.90681363993</v>
      </c>
      <c r="O21" s="4">
        <f>F21/M21</f>
        <v>1</v>
      </c>
      <c r="P21" s="4">
        <f>L21/M21</f>
        <v>0</v>
      </c>
    </row>
    <row r="22" spans="1:16" ht="12.75">
      <c r="A22" s="33">
        <v>1249</v>
      </c>
      <c r="B22" s="20"/>
      <c r="C22" s="34">
        <v>25657.198</v>
      </c>
      <c r="D22" s="34">
        <v>13347.725</v>
      </c>
      <c r="E22" s="34">
        <f>C22+D22</f>
        <v>39004.923</v>
      </c>
      <c r="F22" s="34">
        <f>3.115305029*E22</f>
        <v>121512.23277765777</v>
      </c>
      <c r="G22" s="20"/>
      <c r="H22" s="36"/>
      <c r="I22" s="34"/>
      <c r="J22" s="34"/>
      <c r="K22" s="34"/>
      <c r="L22" s="34"/>
      <c r="M22" s="34">
        <f>F22+L22</f>
        <v>121512.23277765777</v>
      </c>
      <c r="O22" s="4">
        <f>F22/M22</f>
        <v>1</v>
      </c>
      <c r="P22" s="4">
        <f>L22/M22</f>
        <v>0</v>
      </c>
    </row>
    <row r="23" spans="1:16" ht="12.75">
      <c r="A23" s="33">
        <v>1250</v>
      </c>
      <c r="B23" s="20"/>
      <c r="C23" s="34">
        <v>16736.386</v>
      </c>
      <c r="D23" s="34">
        <v>8662.227</v>
      </c>
      <c r="E23" s="34">
        <f>C23+D23</f>
        <v>25398.612999999998</v>
      </c>
      <c r="F23" s="34">
        <f>3.115305029*E23</f>
        <v>79124.42680852477</v>
      </c>
      <c r="G23" s="20"/>
      <c r="H23" s="36"/>
      <c r="I23" s="34"/>
      <c r="J23" s="34"/>
      <c r="K23" s="34"/>
      <c r="L23" s="34"/>
      <c r="M23" s="34">
        <f>F23+L23</f>
        <v>79124.42680852477</v>
      </c>
      <c r="O23" s="4">
        <f>F23/M23</f>
        <v>1</v>
      </c>
      <c r="P23" s="4">
        <f>L23/M23</f>
        <v>0</v>
      </c>
    </row>
    <row r="24" spans="1:16" ht="12.75">
      <c r="A24" s="33">
        <v>1251</v>
      </c>
      <c r="B24" s="20"/>
      <c r="C24" s="34">
        <v>12180.768</v>
      </c>
      <c r="D24" s="34">
        <v>6569.174</v>
      </c>
      <c r="E24" s="34">
        <f>C24+D24</f>
        <v>18749.942</v>
      </c>
      <c r="F24" s="34">
        <f>3.115305029*E24</f>
        <v>58411.78860605831</v>
      </c>
      <c r="G24" s="20"/>
      <c r="H24" s="36"/>
      <c r="I24" s="34"/>
      <c r="J24" s="34"/>
      <c r="K24" s="34"/>
      <c r="L24" s="34"/>
      <c r="M24" s="34">
        <f>F24+L24</f>
        <v>58411.78860605831</v>
      </c>
      <c r="O24" s="4">
        <f>F24/M24</f>
        <v>1</v>
      </c>
      <c r="P24" s="4">
        <f>L24/M24</f>
        <v>0</v>
      </c>
    </row>
    <row r="25" spans="1:16" ht="12.75">
      <c r="A25" s="33">
        <v>1252</v>
      </c>
      <c r="B25" s="20"/>
      <c r="C25" s="34">
        <v>11627.527</v>
      </c>
      <c r="D25" s="34">
        <v>8655.476</v>
      </c>
      <c r="E25" s="34">
        <f>C25+D25</f>
        <v>20283.003</v>
      </c>
      <c r="F25" s="34">
        <f>3.115305029*E25</f>
        <v>63187.74124912209</v>
      </c>
      <c r="G25" s="20"/>
      <c r="H25" s="36"/>
      <c r="I25" s="34"/>
      <c r="J25" s="34"/>
      <c r="K25" s="34"/>
      <c r="L25" s="34"/>
      <c r="M25" s="34">
        <f>F25+L25</f>
        <v>63187.74124912209</v>
      </c>
      <c r="O25" s="4">
        <f>F25/M25</f>
        <v>1</v>
      </c>
      <c r="P25" s="4">
        <f>L25/M25</f>
        <v>0</v>
      </c>
    </row>
    <row r="26" spans="1:16" ht="12.75">
      <c r="A26" s="33">
        <v>1253</v>
      </c>
      <c r="B26" s="20"/>
      <c r="C26" s="34">
        <v>10852.99</v>
      </c>
      <c r="D26" s="34">
        <v>11576.3</v>
      </c>
      <c r="E26" s="34">
        <f>C26+D26</f>
        <v>22429.29</v>
      </c>
      <c r="F26" s="34">
        <f>3.115305029*E26</f>
        <v>69874.07993389941</v>
      </c>
      <c r="G26" s="20"/>
      <c r="H26" s="36"/>
      <c r="I26" s="34"/>
      <c r="J26" s="34"/>
      <c r="K26" s="34"/>
      <c r="L26" s="34"/>
      <c r="M26" s="34">
        <f>F26+L26</f>
        <v>69874.07993389941</v>
      </c>
      <c r="O26" s="4">
        <f>F26/M26</f>
        <v>1</v>
      </c>
      <c r="P26" s="4">
        <f>L26/M26</f>
        <v>0</v>
      </c>
    </row>
    <row r="27" spans="1:16" ht="12.75">
      <c r="A27" s="33">
        <v>1254</v>
      </c>
      <c r="B27" s="20"/>
      <c r="C27" s="34">
        <v>10852.99</v>
      </c>
      <c r="D27" s="34">
        <v>11576.3</v>
      </c>
      <c r="E27" s="34">
        <f>C27+D27</f>
        <v>22429.29</v>
      </c>
      <c r="F27" s="34">
        <f>3.115305029*E27</f>
        <v>69874.07993389941</v>
      </c>
      <c r="G27" s="20"/>
      <c r="H27" s="36"/>
      <c r="I27" s="34"/>
      <c r="J27" s="34"/>
      <c r="K27" s="34"/>
      <c r="L27" s="34"/>
      <c r="M27" s="34">
        <f>F27+L27</f>
        <v>69874.07993389941</v>
      </c>
      <c r="O27" s="4">
        <f>F27/M27</f>
        <v>1</v>
      </c>
      <c r="P27" s="4">
        <f>L27/M27</f>
        <v>0</v>
      </c>
    </row>
    <row r="28" spans="1:16" ht="12.75">
      <c r="A28" s="33">
        <v>1255</v>
      </c>
      <c r="B28" s="20"/>
      <c r="C28" s="34">
        <v>10029.941</v>
      </c>
      <c r="D28" s="34">
        <v>12688.925</v>
      </c>
      <c r="E28" s="34">
        <f>C28+D28</f>
        <v>22718.866</v>
      </c>
      <c r="F28" s="34">
        <f>3.115305029*E28</f>
        <v>70776.19750297711</v>
      </c>
      <c r="G28" s="20"/>
      <c r="H28" s="36"/>
      <c r="I28" s="34"/>
      <c r="J28" s="34"/>
      <c r="K28" s="34"/>
      <c r="L28" s="34"/>
      <c r="M28" s="34">
        <f>F28+L28</f>
        <v>70776.19750297711</v>
      </c>
      <c r="O28" s="4">
        <f>F28/M28</f>
        <v>1</v>
      </c>
      <c r="P28" s="4">
        <f>L28/M28</f>
        <v>0</v>
      </c>
    </row>
    <row r="29" spans="1:16" ht="12.75">
      <c r="A29" s="33">
        <v>1256</v>
      </c>
      <c r="B29" s="20"/>
      <c r="C29" s="34">
        <v>9967.097</v>
      </c>
      <c r="D29" s="34">
        <v>12458.17</v>
      </c>
      <c r="E29" s="34">
        <f>C29+D29</f>
        <v>22425.267</v>
      </c>
      <c r="F29" s="34">
        <f>3.115305029*E29</f>
        <v>69861.54706176773</v>
      </c>
      <c r="G29" s="20"/>
      <c r="H29" s="36"/>
      <c r="I29" s="34"/>
      <c r="J29" s="34"/>
      <c r="K29" s="34"/>
      <c r="L29" s="34"/>
      <c r="M29" s="34">
        <f>F29+L29</f>
        <v>69861.54706176773</v>
      </c>
      <c r="O29" s="4">
        <f>F29/M29</f>
        <v>1</v>
      </c>
      <c r="P29" s="4">
        <f>L29/M29</f>
        <v>0</v>
      </c>
    </row>
    <row r="30" spans="1:16" ht="12.75">
      <c r="A30" s="33">
        <v>1257</v>
      </c>
      <c r="B30" s="20"/>
      <c r="C30" s="34">
        <v>9636.059</v>
      </c>
      <c r="D30" s="34">
        <v>12211.478</v>
      </c>
      <c r="E30" s="34">
        <f>C30+D30</f>
        <v>21847.536999999997</v>
      </c>
      <c r="F30" s="34">
        <f>3.115305029*E30</f>
        <v>68061.74188736356</v>
      </c>
      <c r="G30" s="20"/>
      <c r="H30" s="36"/>
      <c r="I30" s="34"/>
      <c r="J30" s="34"/>
      <c r="K30" s="34"/>
      <c r="L30" s="34"/>
      <c r="M30" s="34">
        <f>F30+L30</f>
        <v>68061.74188736356</v>
      </c>
      <c r="O30" s="4">
        <f>F30/M30</f>
        <v>1</v>
      </c>
      <c r="P30" s="4">
        <f>L30/M30</f>
        <v>0</v>
      </c>
    </row>
    <row r="31" spans="1:16" ht="12.75">
      <c r="A31" s="33">
        <v>1258</v>
      </c>
      <c r="B31" s="20"/>
      <c r="C31" s="34">
        <v>7516.404</v>
      </c>
      <c r="D31" s="34">
        <v>9266.514</v>
      </c>
      <c r="E31" s="34">
        <f>C31+D31</f>
        <v>16782.917999999998</v>
      </c>
      <c r="F31" s="34">
        <f>3.115305029*E31</f>
        <v>52283.90884669461</v>
      </c>
      <c r="G31" s="20"/>
      <c r="H31" s="36"/>
      <c r="I31" s="34"/>
      <c r="J31" s="34"/>
      <c r="K31" s="34"/>
      <c r="L31" s="34"/>
      <c r="M31" s="34">
        <f>F31+L31</f>
        <v>52283.90884669461</v>
      </c>
      <c r="O31" s="4">
        <f>F31/M31</f>
        <v>1</v>
      </c>
      <c r="P31" s="4">
        <f>L31/M31</f>
        <v>0</v>
      </c>
    </row>
    <row r="32" spans="1:16" ht="12.75">
      <c r="A32" s="33">
        <v>1259</v>
      </c>
      <c r="B32" s="20"/>
      <c r="C32" s="34">
        <v>7156.498</v>
      </c>
      <c r="D32" s="34">
        <v>11343.891</v>
      </c>
      <c r="E32" s="34">
        <f>C32+D32</f>
        <v>18500.389</v>
      </c>
      <c r="F32" s="34">
        <f>3.115305029*E32</f>
        <v>57634.354890156275</v>
      </c>
      <c r="G32" s="20"/>
      <c r="H32" s="36"/>
      <c r="I32" s="34"/>
      <c r="J32" s="34"/>
      <c r="K32" s="34"/>
      <c r="L32" s="34"/>
      <c r="M32" s="34">
        <f>F32+L32</f>
        <v>57634.354890156275</v>
      </c>
      <c r="O32" s="4">
        <f>F32/M32</f>
        <v>1</v>
      </c>
      <c r="P32" s="4">
        <f>L32/M32</f>
        <v>0</v>
      </c>
    </row>
    <row r="33" spans="1:16" ht="12.75">
      <c r="A33" s="33">
        <v>1260</v>
      </c>
      <c r="B33" s="20"/>
      <c r="C33" s="34">
        <v>6311.931</v>
      </c>
      <c r="D33" s="34">
        <v>7760.885</v>
      </c>
      <c r="E33" s="34">
        <f>C33+D33</f>
        <v>14072.815999999999</v>
      </c>
      <c r="F33" s="34">
        <f>3.115305029*E33</f>
        <v>43841.11445699166</v>
      </c>
      <c r="G33" s="20"/>
      <c r="H33" s="36"/>
      <c r="I33" s="34"/>
      <c r="J33" s="34"/>
      <c r="K33" s="34"/>
      <c r="L33" s="34"/>
      <c r="M33" s="34">
        <f>F33+L33</f>
        <v>43841.11445699166</v>
      </c>
      <c r="O33" s="4">
        <f>F33/M33</f>
        <v>1</v>
      </c>
      <c r="P33" s="4">
        <f>L33/M33</f>
        <v>0</v>
      </c>
    </row>
    <row r="34" spans="1:16" ht="12.75">
      <c r="A34" s="33">
        <v>1261</v>
      </c>
      <c r="B34" s="20"/>
      <c r="C34" s="34">
        <v>8779.173</v>
      </c>
      <c r="D34" s="34">
        <v>12409.231</v>
      </c>
      <c r="E34" s="34">
        <f>C34+D34</f>
        <v>21188.404000000002</v>
      </c>
      <c r="F34" s="34">
        <f>3.115305029*E34</f>
        <v>66008.34153768372</v>
      </c>
      <c r="G34" s="20"/>
      <c r="H34" s="36"/>
      <c r="I34" s="34"/>
      <c r="J34" s="34"/>
      <c r="K34" s="34"/>
      <c r="L34" s="34"/>
      <c r="M34" s="34">
        <f>F34+L34</f>
        <v>66008.34153768372</v>
      </c>
      <c r="O34" s="4">
        <f>F34/M34</f>
        <v>1</v>
      </c>
      <c r="P34" s="4">
        <f>L34/M34</f>
        <v>0</v>
      </c>
    </row>
    <row r="35" spans="1:16" ht="12.75">
      <c r="A35" s="33">
        <v>1262</v>
      </c>
      <c r="B35" s="20"/>
      <c r="C35" s="34">
        <v>8158.916</v>
      </c>
      <c r="D35" s="34">
        <v>8162.839</v>
      </c>
      <c r="E35" s="34">
        <f>C35+D35</f>
        <v>16321.755000000001</v>
      </c>
      <c r="F35" s="34">
        <f>3.115305029*E35</f>
        <v>50847.245433605895</v>
      </c>
      <c r="G35" s="20"/>
      <c r="H35" s="36"/>
      <c r="I35" s="34"/>
      <c r="J35" s="34"/>
      <c r="K35" s="34"/>
      <c r="L35" s="34"/>
      <c r="M35" s="34">
        <f>F35+L35</f>
        <v>50847.245433605895</v>
      </c>
      <c r="O35" s="4">
        <f>F35/M35</f>
        <v>1</v>
      </c>
      <c r="P35" s="4">
        <f>L35/M35</f>
        <v>0</v>
      </c>
    </row>
    <row r="36" spans="1:16" ht="12.75">
      <c r="A36" s="33">
        <v>1263</v>
      </c>
      <c r="B36" s="20"/>
      <c r="C36" s="34">
        <v>10293.466</v>
      </c>
      <c r="D36" s="34">
        <v>6621.438</v>
      </c>
      <c r="E36" s="34">
        <f>C36+D36</f>
        <v>16914.904000000002</v>
      </c>
      <c r="F36" s="34">
        <f>3.115305029*E36</f>
        <v>52695.08549625222</v>
      </c>
      <c r="G36" s="20"/>
      <c r="H36" s="36"/>
      <c r="I36" s="34"/>
      <c r="J36" s="34"/>
      <c r="K36" s="34"/>
      <c r="L36" s="34"/>
      <c r="M36" s="34">
        <f>F36+L36</f>
        <v>52695.08549625222</v>
      </c>
      <c r="O36" s="4">
        <f>F36/M36</f>
        <v>1</v>
      </c>
      <c r="P36" s="4">
        <f>L36/M36</f>
        <v>0</v>
      </c>
    </row>
    <row r="37" spans="1:16" ht="12.75">
      <c r="A37" s="33">
        <v>1264</v>
      </c>
      <c r="B37" s="20"/>
      <c r="C37" s="34">
        <v>6221.688</v>
      </c>
      <c r="D37" s="34">
        <v>2278.866</v>
      </c>
      <c r="E37" s="34">
        <f>C37+D37</f>
        <v>8500.554</v>
      </c>
      <c r="F37" s="34">
        <f>3.115305029*E37</f>
        <v>26481.818625486067</v>
      </c>
      <c r="G37" s="20"/>
      <c r="H37" s="36"/>
      <c r="I37" s="34"/>
      <c r="J37" s="34"/>
      <c r="K37" s="34"/>
      <c r="L37" s="34"/>
      <c r="M37" s="34">
        <f>F37+L37</f>
        <v>26481.818625486067</v>
      </c>
      <c r="O37" s="4">
        <f>F37/M37</f>
        <v>1</v>
      </c>
      <c r="P37" s="4">
        <f>L37/M37</f>
        <v>0</v>
      </c>
    </row>
    <row r="38" spans="1:16" ht="12.75">
      <c r="A38" s="33">
        <v>1265</v>
      </c>
      <c r="B38" s="20"/>
      <c r="C38" s="34">
        <v>4425.995</v>
      </c>
      <c r="D38" s="34">
        <v>3906.836</v>
      </c>
      <c r="E38" s="34">
        <f>C38+D38</f>
        <v>8332.831</v>
      </c>
      <c r="F38" s="34">
        <f>3.115305029*E38</f>
        <v>25959.3103201071</v>
      </c>
      <c r="G38" s="20"/>
      <c r="H38" s="36"/>
      <c r="I38" s="34"/>
      <c r="J38" s="34"/>
      <c r="K38" s="34"/>
      <c r="L38" s="34"/>
      <c r="M38" s="34">
        <f>F38+L38</f>
        <v>25959.3103201071</v>
      </c>
      <c r="O38" s="4">
        <f>F38/M38</f>
        <v>1</v>
      </c>
      <c r="P38" s="4">
        <f>L38/M38</f>
        <v>0</v>
      </c>
    </row>
    <row r="39" spans="1:16" ht="12.75">
      <c r="A39" s="33">
        <v>1266</v>
      </c>
      <c r="B39" s="20"/>
      <c r="C39" s="34">
        <v>9855.819</v>
      </c>
      <c r="D39" s="34">
        <v>5224.364</v>
      </c>
      <c r="E39" s="34">
        <f>C39+D39</f>
        <v>15080.182999999999</v>
      </c>
      <c r="F39" s="34">
        <f>3.115305029*E39</f>
        <v>46979.369938140306</v>
      </c>
      <c r="G39" s="20"/>
      <c r="H39" s="36"/>
      <c r="I39" s="34"/>
      <c r="J39" s="34"/>
      <c r="K39" s="34"/>
      <c r="L39" s="34"/>
      <c r="M39" s="34">
        <f>F39+L39</f>
        <v>46979.369938140306</v>
      </c>
      <c r="O39" s="4">
        <f>F39/M39</f>
        <v>1</v>
      </c>
      <c r="P39" s="4">
        <f>L39/M39</f>
        <v>0</v>
      </c>
    </row>
    <row r="40" spans="1:16" ht="12.75">
      <c r="A40" s="33">
        <v>1267</v>
      </c>
      <c r="B40" s="20"/>
      <c r="C40" s="34">
        <v>5063.293</v>
      </c>
      <c r="D40" s="34">
        <v>1854.773</v>
      </c>
      <c r="E40" s="34">
        <f>C40+D40</f>
        <v>6918.066</v>
      </c>
      <c r="F40" s="34">
        <f>3.115305029*E40</f>
        <v>21551.885800753913</v>
      </c>
      <c r="G40" s="20"/>
      <c r="H40" s="36"/>
      <c r="I40" s="34"/>
      <c r="J40" s="34"/>
      <c r="K40" s="34"/>
      <c r="L40" s="34"/>
      <c r="M40" s="34">
        <f>F40+L40</f>
        <v>21551.885800753913</v>
      </c>
      <c r="O40" s="4">
        <f>F40/M40</f>
        <v>1</v>
      </c>
      <c r="P40" s="4">
        <f>L40/M40</f>
        <v>0</v>
      </c>
    </row>
    <row r="41" spans="1:16" ht="12.75">
      <c r="A41" s="33">
        <v>1268</v>
      </c>
      <c r="B41" s="20"/>
      <c r="C41" s="34">
        <v>5063.293</v>
      </c>
      <c r="D41" s="34">
        <v>1854.773</v>
      </c>
      <c r="E41" s="34">
        <f>C41+D41</f>
        <v>6918.066</v>
      </c>
      <c r="F41" s="34">
        <f>3.115305029*E41</f>
        <v>21551.885800753913</v>
      </c>
      <c r="G41" s="20"/>
      <c r="H41" s="36"/>
      <c r="I41" s="34"/>
      <c r="J41" s="34"/>
      <c r="K41" s="34"/>
      <c r="L41" s="34"/>
      <c r="M41" s="34">
        <f>F41+L41</f>
        <v>21551.885800753913</v>
      </c>
      <c r="O41" s="4">
        <f>F41/M41</f>
        <v>1</v>
      </c>
      <c r="P41" s="4">
        <f>L41/M41</f>
        <v>0</v>
      </c>
    </row>
    <row r="42" spans="1:16" ht="12.75">
      <c r="A42" s="33">
        <v>1269</v>
      </c>
      <c r="B42" s="20"/>
      <c r="C42" s="34">
        <v>5063.293</v>
      </c>
      <c r="D42" s="34">
        <v>1854.773</v>
      </c>
      <c r="E42" s="34">
        <f>C42+D42</f>
        <v>6918.066</v>
      </c>
      <c r="F42" s="34">
        <f>3.115305029*E42</f>
        <v>21551.885800753913</v>
      </c>
      <c r="G42" s="20"/>
      <c r="H42" s="36"/>
      <c r="I42" s="34"/>
      <c r="J42" s="34"/>
      <c r="K42" s="34"/>
      <c r="L42" s="34"/>
      <c r="M42" s="34">
        <f>F42+L42</f>
        <v>21551.885800753913</v>
      </c>
      <c r="O42" s="4">
        <f>F42/M42</f>
        <v>1</v>
      </c>
      <c r="P42" s="4">
        <f>L42/M42</f>
        <v>0</v>
      </c>
    </row>
    <row r="43" spans="1:16" ht="12.75">
      <c r="A43" s="33">
        <v>1270</v>
      </c>
      <c r="B43" s="20"/>
      <c r="C43" s="34">
        <v>5063.293</v>
      </c>
      <c r="D43" s="34">
        <v>1854.773</v>
      </c>
      <c r="E43" s="34">
        <f>C43+D43</f>
        <v>6918.066</v>
      </c>
      <c r="F43" s="34">
        <f>3.115305029*E43</f>
        <v>21551.885800753913</v>
      </c>
      <c r="G43" s="20"/>
      <c r="H43" s="36"/>
      <c r="I43" s="34"/>
      <c r="J43" s="34"/>
      <c r="K43" s="34"/>
      <c r="L43" s="34"/>
      <c r="M43" s="34">
        <f>F43+L43</f>
        <v>21551.885800753913</v>
      </c>
      <c r="O43" s="4">
        <f>F43/M43</f>
        <v>1</v>
      </c>
      <c r="P43" s="4">
        <f>L43/M43</f>
        <v>0</v>
      </c>
    </row>
    <row r="44" spans="1:16" ht="12.75">
      <c r="A44" s="33">
        <v>1271</v>
      </c>
      <c r="B44" s="20"/>
      <c r="C44" s="34">
        <v>3621.734</v>
      </c>
      <c r="D44" s="34">
        <v>544.482</v>
      </c>
      <c r="E44" s="34">
        <f>C44+D44</f>
        <v>4166.216</v>
      </c>
      <c r="F44" s="34">
        <f>3.115305029*E44</f>
        <v>12979.033656700265</v>
      </c>
      <c r="G44" s="20"/>
      <c r="H44" s="36"/>
      <c r="I44" s="34"/>
      <c r="J44" s="34"/>
      <c r="K44" s="34"/>
      <c r="L44" s="34"/>
      <c r="M44" s="34">
        <f>F44+L44</f>
        <v>12979.033656700265</v>
      </c>
      <c r="O44" s="4">
        <f>F44/M44</f>
        <v>1</v>
      </c>
      <c r="P44" s="4">
        <f>L44/M44</f>
        <v>0</v>
      </c>
    </row>
    <row r="45" spans="1:16" ht="12.75">
      <c r="A45" s="33">
        <v>1272</v>
      </c>
      <c r="B45" s="20"/>
      <c r="C45" s="34">
        <v>3141.216</v>
      </c>
      <c r="D45" s="34">
        <v>107.718</v>
      </c>
      <c r="E45" s="34">
        <f>C45+D45</f>
        <v>3248.9339999999997</v>
      </c>
      <c r="F45" s="34">
        <f>3.115305029*E45</f>
        <v>10121.420429089085</v>
      </c>
      <c r="G45" s="20"/>
      <c r="H45" s="36"/>
      <c r="I45" s="34"/>
      <c r="J45" s="34"/>
      <c r="K45" s="34"/>
      <c r="L45" s="34"/>
      <c r="M45" s="34">
        <f>F45+L45</f>
        <v>10121.420429089085</v>
      </c>
      <c r="O45" s="4">
        <f>F45/M45</f>
        <v>1</v>
      </c>
      <c r="P45" s="4">
        <f>L45/M45</f>
        <v>0</v>
      </c>
    </row>
    <row r="46" spans="1:16" ht="12.75">
      <c r="A46" s="33">
        <v>1273</v>
      </c>
      <c r="B46" s="20"/>
      <c r="C46" s="34">
        <v>2341.593</v>
      </c>
      <c r="D46" s="34">
        <v>195.157</v>
      </c>
      <c r="E46" s="34">
        <f>C46+D46</f>
        <v>2536.75</v>
      </c>
      <c r="F46" s="34">
        <f>3.115305029*E46</f>
        <v>7902.75003231575</v>
      </c>
      <c r="G46" s="20"/>
      <c r="H46" s="36"/>
      <c r="I46" s="34"/>
      <c r="J46" s="34"/>
      <c r="K46" s="34"/>
      <c r="L46" s="34"/>
      <c r="M46" s="34">
        <f>F46+L46</f>
        <v>7902.75003231575</v>
      </c>
      <c r="O46" s="4">
        <f>F46/M46</f>
        <v>1</v>
      </c>
      <c r="P46" s="4">
        <f>L46/M46</f>
        <v>0</v>
      </c>
    </row>
    <row r="47" spans="1:16" ht="12.75">
      <c r="A47" s="33">
        <v>1274</v>
      </c>
      <c r="B47" s="20"/>
      <c r="C47" s="34">
        <v>4292.649</v>
      </c>
      <c r="D47" s="34">
        <v>167.626</v>
      </c>
      <c r="E47" s="34">
        <f>C47+D47</f>
        <v>4460.275000000001</v>
      </c>
      <c r="F47" s="34">
        <f>3.115305029*E47</f>
        <v>13895.117138222977</v>
      </c>
      <c r="G47" s="20"/>
      <c r="H47" s="36"/>
      <c r="I47" s="34"/>
      <c r="J47" s="34"/>
      <c r="K47" s="34"/>
      <c r="L47" s="34"/>
      <c r="M47" s="34">
        <f>F47+L47</f>
        <v>13895.117138222977</v>
      </c>
      <c r="O47" s="4">
        <f>F47/M47</f>
        <v>1</v>
      </c>
      <c r="P47" s="4">
        <f>L47/M47</f>
        <v>0</v>
      </c>
    </row>
    <row r="48" spans="1:16" ht="12.75">
      <c r="A48" s="33">
        <v>1275</v>
      </c>
      <c r="B48" s="20"/>
      <c r="C48" s="34">
        <v>3386.267</v>
      </c>
      <c r="D48" s="34"/>
      <c r="E48" s="34">
        <f>C48+D48</f>
        <v>3386.267</v>
      </c>
      <c r="F48" s="34">
        <f>3.115305029*E48</f>
        <v>10549.254614636742</v>
      </c>
      <c r="G48" s="20"/>
      <c r="H48" s="36"/>
      <c r="I48" s="34"/>
      <c r="J48" s="34"/>
      <c r="K48" s="34"/>
      <c r="L48" s="34"/>
      <c r="M48" s="34">
        <f>F48+L48</f>
        <v>10549.254614636742</v>
      </c>
      <c r="O48" s="4">
        <f>F48/M48</f>
        <v>1</v>
      </c>
      <c r="P48" s="4">
        <f>L48/M48</f>
        <v>0</v>
      </c>
    </row>
    <row r="49" spans="1:16" ht="12.75">
      <c r="A49" s="33">
        <v>1276</v>
      </c>
      <c r="B49" s="20"/>
      <c r="C49" s="34">
        <v>5671.606</v>
      </c>
      <c r="D49" s="34"/>
      <c r="E49" s="34">
        <f>C49+D49</f>
        <v>5671.606</v>
      </c>
      <c r="F49" s="34">
        <f>3.115305029*E49</f>
        <v>17668.782694306574</v>
      </c>
      <c r="G49" s="20"/>
      <c r="H49" s="36"/>
      <c r="I49" s="34"/>
      <c r="J49" s="34"/>
      <c r="K49" s="34"/>
      <c r="L49" s="34"/>
      <c r="M49" s="34">
        <f>F49+L49</f>
        <v>17668.782694306574</v>
      </c>
      <c r="O49" s="4">
        <f>F49/M49</f>
        <v>1</v>
      </c>
      <c r="P49" s="4">
        <f>L49/M49</f>
        <v>0</v>
      </c>
    </row>
    <row r="50" spans="1:16" ht="12.75">
      <c r="A50" s="33">
        <v>1277</v>
      </c>
      <c r="B50" s="20"/>
      <c r="C50" s="34">
        <v>5671.606</v>
      </c>
      <c r="D50" s="34"/>
      <c r="E50" s="34">
        <f>C50+D50</f>
        <v>5671.606</v>
      </c>
      <c r="F50" s="34">
        <f>3.115305029*E50</f>
        <v>17668.782694306574</v>
      </c>
      <c r="G50" s="20"/>
      <c r="H50" s="36"/>
      <c r="I50" s="34"/>
      <c r="J50" s="34"/>
      <c r="K50" s="34"/>
      <c r="L50" s="34"/>
      <c r="M50" s="34">
        <f>F50+L50</f>
        <v>17668.782694306574</v>
      </c>
      <c r="O50" s="4">
        <f>F50/M50</f>
        <v>1</v>
      </c>
      <c r="P50" s="4">
        <f>L50/M50</f>
        <v>0</v>
      </c>
    </row>
    <row r="51" spans="1:16" ht="12.75">
      <c r="A51" s="33">
        <v>1278</v>
      </c>
      <c r="B51" s="20"/>
      <c r="C51" s="34">
        <v>5671.606</v>
      </c>
      <c r="D51" s="34">
        <v>205.282</v>
      </c>
      <c r="E51" s="34">
        <f>C51+D51</f>
        <v>5876.888</v>
      </c>
      <c r="F51" s="34">
        <f>3.115305029*E51</f>
        <v>18308.29874126975</v>
      </c>
      <c r="G51" s="20"/>
      <c r="H51" s="36"/>
      <c r="I51" s="34"/>
      <c r="J51" s="34"/>
      <c r="K51" s="34"/>
      <c r="L51" s="34"/>
      <c r="M51" s="34">
        <f>F51+L51</f>
        <v>18308.29874126975</v>
      </c>
      <c r="O51" s="4">
        <f>F51/M51</f>
        <v>1</v>
      </c>
      <c r="P51" s="4">
        <f>L51/M51</f>
        <v>0</v>
      </c>
    </row>
    <row r="52" spans="1:16" ht="12.75">
      <c r="A52" s="33">
        <v>1279</v>
      </c>
      <c r="B52" s="20"/>
      <c r="C52" s="34">
        <v>23333.695</v>
      </c>
      <c r="D52" s="34">
        <v>54.755</v>
      </c>
      <c r="E52" s="34">
        <f>C52+D52</f>
        <v>23388.45</v>
      </c>
      <c r="F52" s="34">
        <v>73150.363</v>
      </c>
      <c r="G52" s="20"/>
      <c r="H52" s="36"/>
      <c r="I52" s="34"/>
      <c r="J52" s="34"/>
      <c r="K52" s="34"/>
      <c r="L52" s="34"/>
      <c r="M52" s="34">
        <f>F52+L52</f>
        <v>73150.363</v>
      </c>
      <c r="O52" s="4">
        <f>F52/M52</f>
        <v>1</v>
      </c>
      <c r="P52" s="4">
        <f>L52/M52</f>
        <v>0</v>
      </c>
    </row>
    <row r="53" spans="1:16" ht="12.75">
      <c r="A53" s="33">
        <v>1280</v>
      </c>
      <c r="B53" s="20"/>
      <c r="C53" s="34">
        <v>59682.252</v>
      </c>
      <c r="D53" s="34">
        <v>10681.137</v>
      </c>
      <c r="E53" s="34">
        <f>C53+D53</f>
        <v>70363.389</v>
      </c>
      <c r="F53" s="34">
        <v>219971.71</v>
      </c>
      <c r="G53" s="20"/>
      <c r="H53" s="36"/>
      <c r="I53" s="34"/>
      <c r="J53" s="34"/>
      <c r="K53" s="34"/>
      <c r="L53" s="34"/>
      <c r="M53" s="34">
        <f>F53+L53</f>
        <v>219971.71</v>
      </c>
      <c r="O53" s="4">
        <f>F53/M53</f>
        <v>1</v>
      </c>
      <c r="P53" s="4">
        <f>L53/M53</f>
        <v>0</v>
      </c>
    </row>
    <row r="54" spans="1:16" ht="12.75">
      <c r="A54" s="33">
        <v>1281</v>
      </c>
      <c r="B54" s="20"/>
      <c r="C54" s="34">
        <v>33797.124</v>
      </c>
      <c r="D54" s="34">
        <v>8040.307</v>
      </c>
      <c r="E54" s="34">
        <f>C54+D54</f>
        <v>41837.431000000004</v>
      </c>
      <c r="F54" s="34">
        <f>3.1281782*E54</f>
        <v>130874.9395982042</v>
      </c>
      <c r="G54" s="20"/>
      <c r="H54" s="36"/>
      <c r="I54" s="34"/>
      <c r="J54" s="34"/>
      <c r="K54" s="34"/>
      <c r="L54" s="34"/>
      <c r="M54" s="34">
        <f>F54+L54</f>
        <v>130874.9395982042</v>
      </c>
      <c r="O54" s="4">
        <f>F54/M54</f>
        <v>1</v>
      </c>
      <c r="P54" s="4">
        <f>L54/M54</f>
        <v>0</v>
      </c>
    </row>
    <row r="55" spans="1:16" ht="12.75">
      <c r="A55" s="33">
        <v>1282</v>
      </c>
      <c r="B55" s="20"/>
      <c r="C55" s="34">
        <v>12268.066</v>
      </c>
      <c r="D55" s="34">
        <v>7035.817</v>
      </c>
      <c r="E55" s="34">
        <f>C55+D55</f>
        <v>19303.883</v>
      </c>
      <c r="F55" s="34">
        <f>3.1281782*E55</f>
        <v>60385.9859759506</v>
      </c>
      <c r="G55" s="20"/>
      <c r="H55" s="36"/>
      <c r="I55" s="34"/>
      <c r="J55" s="34"/>
      <c r="K55" s="34"/>
      <c r="L55" s="34"/>
      <c r="M55" s="34">
        <f>F55+L55</f>
        <v>60385.9859759506</v>
      </c>
      <c r="O55" s="4">
        <f>F55/M55</f>
        <v>1</v>
      </c>
      <c r="P55" s="4">
        <f>L55/M55</f>
        <v>0</v>
      </c>
    </row>
    <row r="56" spans="1:16" ht="12.75">
      <c r="A56" s="33">
        <v>1283</v>
      </c>
      <c r="B56" s="20"/>
      <c r="C56" s="34">
        <v>12268.066</v>
      </c>
      <c r="D56" s="34">
        <v>5261.421</v>
      </c>
      <c r="E56" s="34">
        <f>C56+D56</f>
        <v>17529.487</v>
      </c>
      <c r="F56" s="34">
        <f>3.1281782*E56</f>
        <v>54835.3590905834</v>
      </c>
      <c r="G56" s="20"/>
      <c r="H56" s="36"/>
      <c r="I56" s="34"/>
      <c r="J56" s="34"/>
      <c r="K56" s="34"/>
      <c r="L56" s="34"/>
      <c r="M56" s="34">
        <f>F56+L56</f>
        <v>54835.3590905834</v>
      </c>
      <c r="O56" s="4">
        <f>F56/M56</f>
        <v>1</v>
      </c>
      <c r="P56" s="4">
        <f>L56/M56</f>
        <v>0</v>
      </c>
    </row>
    <row r="57" spans="1:16" ht="12.75">
      <c r="A57" s="33">
        <v>1284</v>
      </c>
      <c r="B57" s="20"/>
      <c r="C57" s="34">
        <v>7950.148</v>
      </c>
      <c r="D57" s="34">
        <v>5098.848</v>
      </c>
      <c r="E57" s="34">
        <f>C57+D57</f>
        <v>13048.996</v>
      </c>
      <c r="F57" s="34">
        <f>3.1281782*E57</f>
        <v>40819.5848190872</v>
      </c>
      <c r="G57" s="20"/>
      <c r="H57" s="36"/>
      <c r="I57" s="34"/>
      <c r="J57" s="34"/>
      <c r="K57" s="34"/>
      <c r="L57" s="34"/>
      <c r="M57" s="34">
        <f>F57+L57</f>
        <v>40819.5848190872</v>
      </c>
      <c r="O57" s="4">
        <f>F57/M57</f>
        <v>1</v>
      </c>
      <c r="P57" s="4">
        <f>L57/M57</f>
        <v>0</v>
      </c>
    </row>
    <row r="58" spans="1:16" ht="12.75">
      <c r="A58" s="33">
        <v>1285</v>
      </c>
      <c r="B58" s="20"/>
      <c r="C58" s="34">
        <v>11780.462</v>
      </c>
      <c r="D58" s="34">
        <v>6066.284</v>
      </c>
      <c r="E58" s="34">
        <f>C58+D58</f>
        <v>17846.746</v>
      </c>
      <c r="F58" s="34">
        <f>3.1281782*E58</f>
        <v>55827.8017781372</v>
      </c>
      <c r="G58" s="20"/>
      <c r="H58" s="36"/>
      <c r="I58" s="34"/>
      <c r="J58" s="34"/>
      <c r="K58" s="34"/>
      <c r="L58" s="34"/>
      <c r="M58" s="34">
        <f>F58+L58</f>
        <v>55827.8017781372</v>
      </c>
      <c r="O58" s="4">
        <f>F58/M58</f>
        <v>1</v>
      </c>
      <c r="P58" s="4">
        <f>L58/M58</f>
        <v>0</v>
      </c>
    </row>
    <row r="59" spans="1:16" ht="12.75">
      <c r="A59" s="33">
        <v>1286</v>
      </c>
      <c r="B59" s="20"/>
      <c r="C59" s="34">
        <v>18825.242</v>
      </c>
      <c r="D59" s="34">
        <v>8144.487</v>
      </c>
      <c r="E59" s="34">
        <f>C59+D59</f>
        <v>26969.729</v>
      </c>
      <c r="F59" s="34">
        <f>3.1281782*E59</f>
        <v>84366.11831770779</v>
      </c>
      <c r="G59" s="20"/>
      <c r="H59" s="36"/>
      <c r="I59" s="34"/>
      <c r="J59" s="34"/>
      <c r="K59" s="34"/>
      <c r="L59" s="34"/>
      <c r="M59" s="34">
        <f>F59+L59</f>
        <v>84366.11831770779</v>
      </c>
      <c r="O59" s="4">
        <f>F59/M59</f>
        <v>1</v>
      </c>
      <c r="P59" s="4">
        <f>L59/M59</f>
        <v>0</v>
      </c>
    </row>
    <row r="60" spans="1:16" ht="12.75">
      <c r="A60" s="33">
        <v>1287</v>
      </c>
      <c r="B60" s="20"/>
      <c r="C60" s="34">
        <v>18485.365</v>
      </c>
      <c r="D60" s="34">
        <v>12210.608</v>
      </c>
      <c r="E60" s="34">
        <f>C60+D60</f>
        <v>30695.973</v>
      </c>
      <c r="F60" s="34">
        <f>3.1281782*E60</f>
        <v>96022.4735663886</v>
      </c>
      <c r="G60" s="20"/>
      <c r="H60" s="36"/>
      <c r="I60" s="34"/>
      <c r="J60" s="34"/>
      <c r="K60" s="34"/>
      <c r="L60" s="34"/>
      <c r="M60" s="34">
        <f>F60+L60</f>
        <v>96022.4735663886</v>
      </c>
      <c r="O60" s="4">
        <f>F60/M60</f>
        <v>1</v>
      </c>
      <c r="P60" s="4">
        <f>L60/M60</f>
        <v>0</v>
      </c>
    </row>
    <row r="61" spans="1:16" ht="12.75">
      <c r="A61" s="33">
        <v>1288</v>
      </c>
      <c r="B61" s="20"/>
      <c r="C61" s="34">
        <v>12858.843</v>
      </c>
      <c r="D61" s="34">
        <v>5704.789</v>
      </c>
      <c r="E61" s="34">
        <f>C61+D61</f>
        <v>18563.632</v>
      </c>
      <c r="F61" s="34">
        <f>3.1281782*E61</f>
        <v>58070.3489352224</v>
      </c>
      <c r="G61" s="20"/>
      <c r="H61" s="36"/>
      <c r="I61" s="34"/>
      <c r="J61" s="34"/>
      <c r="K61" s="34"/>
      <c r="L61" s="34"/>
      <c r="M61" s="34">
        <f>F61+L61</f>
        <v>58070.3489352224</v>
      </c>
      <c r="O61" s="4">
        <f>F61/M61</f>
        <v>1</v>
      </c>
      <c r="P61" s="4">
        <f>L61/M61</f>
        <v>0</v>
      </c>
    </row>
    <row r="62" spans="1:16" ht="12.75">
      <c r="A62" s="33">
        <v>1289</v>
      </c>
      <c r="B62" s="20"/>
      <c r="C62" s="34">
        <v>4322.841</v>
      </c>
      <c r="D62" s="34">
        <v>1344.331</v>
      </c>
      <c r="E62" s="34">
        <f>C62+D62</f>
        <v>5667.1720000000005</v>
      </c>
      <c r="F62" s="34">
        <f>3.1281782*E62</f>
        <v>17727.9239060504</v>
      </c>
      <c r="G62" s="20"/>
      <c r="H62" s="36"/>
      <c r="I62" s="34"/>
      <c r="J62" s="34"/>
      <c r="K62" s="34"/>
      <c r="L62" s="34"/>
      <c r="M62" s="34">
        <f>F62+L62</f>
        <v>17727.9239060504</v>
      </c>
      <c r="O62" s="4">
        <f>F62/M62</f>
        <v>1</v>
      </c>
      <c r="P62" s="4">
        <f>L62/M62</f>
        <v>0</v>
      </c>
    </row>
    <row r="63" spans="1:16" ht="12.75">
      <c r="A63" s="33">
        <v>1290</v>
      </c>
      <c r="B63" s="20"/>
      <c r="C63" s="34">
        <v>3635.147</v>
      </c>
      <c r="D63" s="34">
        <v>871.328</v>
      </c>
      <c r="E63" s="34">
        <f>C63+D63</f>
        <v>4506.475</v>
      </c>
      <c r="F63" s="34">
        <f>3.1281782*E63</f>
        <v>14097.056853845</v>
      </c>
      <c r="G63" s="20"/>
      <c r="H63" s="36"/>
      <c r="I63" s="34"/>
      <c r="J63" s="34"/>
      <c r="K63" s="34"/>
      <c r="L63" s="34"/>
      <c r="M63" s="34">
        <f>F63+L63</f>
        <v>14097.056853845</v>
      </c>
      <c r="O63" s="4">
        <f>F63/M63</f>
        <v>1</v>
      </c>
      <c r="P63" s="4">
        <f>L63/M63</f>
        <v>0</v>
      </c>
    </row>
    <row r="64" spans="1:16" ht="12.75">
      <c r="A64" s="33">
        <v>1291</v>
      </c>
      <c r="B64" s="20"/>
      <c r="C64" s="34">
        <v>721.786</v>
      </c>
      <c r="D64" s="34">
        <v>276.149</v>
      </c>
      <c r="E64" s="34">
        <f>C64+D64</f>
        <v>997.935</v>
      </c>
      <c r="F64" s="34">
        <f>3.1281782*E64</f>
        <v>3121.7185120169997</v>
      </c>
      <c r="G64" s="20"/>
      <c r="H64" s="36"/>
      <c r="I64" s="34"/>
      <c r="J64" s="34"/>
      <c r="K64" s="34"/>
      <c r="L64" s="34"/>
      <c r="M64" s="34">
        <f>F64+L64</f>
        <v>3121.7185120169997</v>
      </c>
      <c r="O64" s="4">
        <f>F64/M64</f>
        <v>1</v>
      </c>
      <c r="P64" s="4">
        <f>L64/M64</f>
        <v>0</v>
      </c>
    </row>
    <row r="65" spans="1:16" ht="12.75">
      <c r="A65" s="33">
        <v>1292</v>
      </c>
      <c r="B65" s="20"/>
      <c r="C65" s="34">
        <v>1281.736</v>
      </c>
      <c r="D65" s="34">
        <v>206.256</v>
      </c>
      <c r="E65" s="34">
        <f>C65+D65</f>
        <v>1487.9920000000002</v>
      </c>
      <c r="F65" s="34">
        <f>3.1281782*E65</f>
        <v>4654.7041361744</v>
      </c>
      <c r="G65" s="20"/>
      <c r="H65" s="36"/>
      <c r="I65" s="34"/>
      <c r="J65" s="34"/>
      <c r="K65" s="34"/>
      <c r="L65" s="34"/>
      <c r="M65" s="34">
        <f>F65+L65</f>
        <v>4654.7041361744</v>
      </c>
      <c r="O65" s="4">
        <f>F65/M65</f>
        <v>1</v>
      </c>
      <c r="P65" s="4">
        <f>L65/M65</f>
        <v>0</v>
      </c>
    </row>
    <row r="66" spans="1:16" ht="12.75">
      <c r="A66" s="33">
        <v>1293</v>
      </c>
      <c r="B66" s="20"/>
      <c r="C66" s="34">
        <v>822.124</v>
      </c>
      <c r="D66" s="34">
        <v>239.516</v>
      </c>
      <c r="E66" s="34">
        <f>C66+D66</f>
        <v>1061.64</v>
      </c>
      <c r="F66" s="34">
        <f>3.1281782*E66</f>
        <v>3320.999104248</v>
      </c>
      <c r="G66" s="20"/>
      <c r="H66" s="36"/>
      <c r="I66" s="34"/>
      <c r="J66" s="34"/>
      <c r="K66" s="34"/>
      <c r="L66" s="34"/>
      <c r="M66" s="34">
        <f>F66+L66</f>
        <v>3320.999104248</v>
      </c>
      <c r="O66" s="4">
        <f>F66/M66</f>
        <v>1</v>
      </c>
      <c r="P66" s="4">
        <f>L66/M66</f>
        <v>0</v>
      </c>
    </row>
    <row r="67" spans="1:16" ht="12.75">
      <c r="A67" s="33">
        <v>1294</v>
      </c>
      <c r="B67" s="20"/>
      <c r="C67" s="34">
        <v>2039.126</v>
      </c>
      <c r="D67" s="34">
        <v>29.13</v>
      </c>
      <c r="E67" s="34">
        <f>C67+D67</f>
        <v>2068.256</v>
      </c>
      <c r="F67" s="34">
        <f>3.1281782*E67</f>
        <v>6469.873331219199</v>
      </c>
      <c r="G67" s="20"/>
      <c r="H67" s="36"/>
      <c r="I67" s="34"/>
      <c r="J67" s="34"/>
      <c r="K67" s="34"/>
      <c r="L67" s="34"/>
      <c r="M67" s="34">
        <f>F67+L67</f>
        <v>6469.873331219199</v>
      </c>
      <c r="O67" s="4">
        <f>F67/M67</f>
        <v>1</v>
      </c>
      <c r="P67" s="4">
        <f>L67/M67</f>
        <v>0</v>
      </c>
    </row>
    <row r="68" spans="1:16" ht="12.75">
      <c r="A68" s="33">
        <v>1295</v>
      </c>
      <c r="B68" s="20"/>
      <c r="C68" s="34">
        <v>2145.938</v>
      </c>
      <c r="D68" s="34"/>
      <c r="E68" s="34">
        <f>C68+D68</f>
        <v>2145.938</v>
      </c>
      <c r="F68" s="34">
        <f>3.1281782*E68</f>
        <v>6712.8764701516</v>
      </c>
      <c r="G68" s="20"/>
      <c r="H68" s="36"/>
      <c r="I68" s="34"/>
      <c r="J68" s="34"/>
      <c r="K68" s="34"/>
      <c r="L68" s="34"/>
      <c r="M68" s="34">
        <f>F68+L68</f>
        <v>6712.8764701516</v>
      </c>
      <c r="O68" s="4">
        <f>F68/M68</f>
        <v>1</v>
      </c>
      <c r="P68" s="4">
        <f>L68/M68</f>
        <v>0</v>
      </c>
    </row>
    <row r="69" spans="1:16" ht="12.75">
      <c r="A69" s="33">
        <v>1296</v>
      </c>
      <c r="B69" s="20"/>
      <c r="C69" s="34">
        <v>1492.122</v>
      </c>
      <c r="D69" s="34"/>
      <c r="E69" s="34">
        <f>C69+D69</f>
        <v>1492.122</v>
      </c>
      <c r="F69" s="34">
        <f>3.1281782*E69</f>
        <v>4667.6235121404</v>
      </c>
      <c r="G69" s="20"/>
      <c r="H69" s="36"/>
      <c r="I69" s="34"/>
      <c r="J69" s="34"/>
      <c r="K69" s="34"/>
      <c r="L69" s="34"/>
      <c r="M69" s="34">
        <f>F69+L69</f>
        <v>4667.6235121404</v>
      </c>
      <c r="O69" s="4">
        <f>F69/M69</f>
        <v>1</v>
      </c>
      <c r="P69" s="4">
        <f>L69/M69</f>
        <v>0</v>
      </c>
    </row>
    <row r="70" spans="1:16" ht="12.75">
      <c r="A70" s="33">
        <v>1297</v>
      </c>
      <c r="B70" s="20"/>
      <c r="C70" s="34">
        <v>2168.594</v>
      </c>
      <c r="D70" s="34"/>
      <c r="E70" s="34">
        <f>C70+D70</f>
        <v>2168.594</v>
      </c>
      <c r="F70" s="34">
        <f>3.1281782*E70</f>
        <v>6783.7484754508</v>
      </c>
      <c r="G70" s="20"/>
      <c r="H70" s="36"/>
      <c r="I70" s="34"/>
      <c r="J70" s="34"/>
      <c r="K70" s="34"/>
      <c r="L70" s="34"/>
      <c r="M70" s="34">
        <f>F70+L70</f>
        <v>6783.7484754508</v>
      </c>
      <c r="O70" s="4">
        <f>F70/M70</f>
        <v>1</v>
      </c>
      <c r="P70" s="4">
        <f>L70/M70</f>
        <v>0</v>
      </c>
    </row>
    <row r="71" spans="1:16" ht="12.75">
      <c r="A71" s="33">
        <v>1298</v>
      </c>
      <c r="B71" s="20"/>
      <c r="C71" s="34">
        <v>624.555</v>
      </c>
      <c r="D71" s="34"/>
      <c r="E71" s="34">
        <f>C71+D71</f>
        <v>624.555</v>
      </c>
      <c r="F71" s="34">
        <f>3.1281782*E71</f>
        <v>1953.7193357009996</v>
      </c>
      <c r="G71" s="20"/>
      <c r="H71" s="36"/>
      <c r="I71" s="34"/>
      <c r="J71" s="34"/>
      <c r="K71" s="34"/>
      <c r="L71" s="34"/>
      <c r="M71" s="34">
        <f>F71+L71</f>
        <v>1953.7193357009996</v>
      </c>
      <c r="O71" s="4">
        <f>F71/M71</f>
        <v>1</v>
      </c>
      <c r="P71" s="4">
        <f>L71/M71</f>
        <v>0</v>
      </c>
    </row>
    <row r="72" spans="1:16" ht="12.75">
      <c r="A72" s="33">
        <v>1299</v>
      </c>
      <c r="B72" s="20"/>
      <c r="C72" s="34">
        <v>4327.608</v>
      </c>
      <c r="D72" s="34"/>
      <c r="E72" s="34">
        <f>C72+D72</f>
        <v>4327.608</v>
      </c>
      <c r="F72" s="34">
        <f>3.1281782*E72</f>
        <v>13537.5290037456</v>
      </c>
      <c r="G72" s="20"/>
      <c r="H72" s="36"/>
      <c r="I72" s="34"/>
      <c r="J72" s="34"/>
      <c r="K72" s="34"/>
      <c r="L72" s="34"/>
      <c r="M72" s="34">
        <f>F72+L72</f>
        <v>13537.5290037456</v>
      </c>
      <c r="O72" s="4">
        <f>F72/M72</f>
        <v>1</v>
      </c>
      <c r="P72" s="4">
        <f>L72/M72</f>
        <v>0</v>
      </c>
    </row>
    <row r="73" spans="1:16" ht="12.75">
      <c r="A73" s="33">
        <v>1300</v>
      </c>
      <c r="B73" s="20"/>
      <c r="C73" s="34">
        <v>34639.251</v>
      </c>
      <c r="D73" s="34">
        <v>17104.957</v>
      </c>
      <c r="E73" s="34">
        <f>C73+D73</f>
        <v>51744.208</v>
      </c>
      <c r="F73" s="34">
        <f>3.1281782*E73</f>
        <v>161865.1034418656</v>
      </c>
      <c r="G73" s="20"/>
      <c r="H73" s="36"/>
      <c r="I73" s="34"/>
      <c r="J73" s="34"/>
      <c r="K73" s="34"/>
      <c r="L73" s="34"/>
      <c r="M73" s="34">
        <f>F73+L73</f>
        <v>161865.1034418656</v>
      </c>
      <c r="O73" s="4">
        <f>F73/M73</f>
        <v>1</v>
      </c>
      <c r="P73" s="4">
        <f>L73/M73</f>
        <v>0</v>
      </c>
    </row>
    <row r="74" spans="1:16" ht="12.75">
      <c r="A74" s="33">
        <v>1301</v>
      </c>
      <c r="B74" s="20"/>
      <c r="C74" s="34">
        <v>13474.092</v>
      </c>
      <c r="D74" s="34">
        <v>14876.957</v>
      </c>
      <c r="E74" s="34">
        <f>C74+D74</f>
        <v>28351.049</v>
      </c>
      <c r="F74" s="34">
        <f>3.1281782*E74</f>
        <v>88687.13342893179</v>
      </c>
      <c r="G74" s="20"/>
      <c r="H74" s="36"/>
      <c r="I74" s="34"/>
      <c r="J74" s="34"/>
      <c r="K74" s="34"/>
      <c r="L74" s="34"/>
      <c r="M74" s="34">
        <f>F74+L74</f>
        <v>88687.13342893179</v>
      </c>
      <c r="O74" s="4">
        <f>F74/M74</f>
        <v>1</v>
      </c>
      <c r="P74" s="4">
        <f>L74/M74</f>
        <v>0</v>
      </c>
    </row>
    <row r="75" spans="1:16" ht="12.75">
      <c r="A75" s="33">
        <v>1302</v>
      </c>
      <c r="B75" s="20"/>
      <c r="C75" s="34">
        <v>2275.406</v>
      </c>
      <c r="D75" s="34">
        <v>1954.971</v>
      </c>
      <c r="E75" s="34">
        <f>C75+D75</f>
        <v>4230.377</v>
      </c>
      <c r="F75" s="34">
        <f>3.1281782*E75</f>
        <v>13233.3731091814</v>
      </c>
      <c r="G75" s="20"/>
      <c r="H75" s="36"/>
      <c r="I75" s="34"/>
      <c r="J75" s="34"/>
      <c r="K75" s="34"/>
      <c r="L75" s="34"/>
      <c r="M75" s="34">
        <f>F75+L75</f>
        <v>13233.3731091814</v>
      </c>
      <c r="O75" s="4">
        <f>F75/M75</f>
        <v>1</v>
      </c>
      <c r="P75" s="4">
        <f>L75/M75</f>
        <v>0</v>
      </c>
    </row>
    <row r="76" spans="1:16" ht="12.75">
      <c r="A76" s="33">
        <v>1303</v>
      </c>
      <c r="B76" s="20"/>
      <c r="C76" s="34">
        <v>1857.871</v>
      </c>
      <c r="D76" s="34">
        <v>1223.476</v>
      </c>
      <c r="E76" s="34">
        <f>C76+D76</f>
        <v>3081.347</v>
      </c>
      <c r="F76" s="34">
        <f>3.1281782*E76</f>
        <v>9639.0025120354</v>
      </c>
      <c r="G76" s="20"/>
      <c r="H76" s="36"/>
      <c r="I76" s="34"/>
      <c r="J76" s="34"/>
      <c r="K76" s="34"/>
      <c r="L76" s="34"/>
      <c r="M76" s="34">
        <f>F76+L76</f>
        <v>9639.0025120354</v>
      </c>
      <c r="O76" s="4">
        <f>F76/M76</f>
        <v>1</v>
      </c>
      <c r="P76" s="4">
        <f>L76/M76</f>
        <v>0</v>
      </c>
    </row>
    <row r="77" spans="1:16" ht="12.75">
      <c r="A77" s="33">
        <v>1304</v>
      </c>
      <c r="B77" s="20"/>
      <c r="C77" s="34">
        <v>5188.443</v>
      </c>
      <c r="D77" s="34">
        <v>4955.4</v>
      </c>
      <c r="E77" s="34">
        <f>C77+D77</f>
        <v>10143.843</v>
      </c>
      <c r="F77" s="34">
        <f>3.1281782*E77</f>
        <v>31731.7485368226</v>
      </c>
      <c r="G77" s="20"/>
      <c r="H77" s="36"/>
      <c r="I77" s="34"/>
      <c r="J77" s="34"/>
      <c r="K77" s="34"/>
      <c r="L77" s="34"/>
      <c r="M77" s="34">
        <f>F77+L77</f>
        <v>31731.7485368226</v>
      </c>
      <c r="O77" s="4">
        <f>F77/M77</f>
        <v>1</v>
      </c>
      <c r="P77" s="4">
        <f>L77/M77</f>
        <v>0</v>
      </c>
    </row>
    <row r="78" spans="1:16" ht="12.75">
      <c r="A78" s="33">
        <v>1305</v>
      </c>
      <c r="B78" s="20"/>
      <c r="C78" s="34">
        <v>22767.497</v>
      </c>
      <c r="D78" s="34">
        <v>11513.21</v>
      </c>
      <c r="E78" s="34">
        <f>C78+D78</f>
        <v>34280.706999999995</v>
      </c>
      <c r="F78" s="34">
        <f>3.1281782*E78</f>
        <v>107236.16031798738</v>
      </c>
      <c r="G78" s="20"/>
      <c r="H78" s="36"/>
      <c r="I78" s="34"/>
      <c r="J78" s="34"/>
      <c r="K78" s="34"/>
      <c r="L78" s="34"/>
      <c r="M78" s="34">
        <f>F78+L78</f>
        <v>107236.16031798738</v>
      </c>
      <c r="O78" s="4">
        <f>F78/M78</f>
        <v>1</v>
      </c>
      <c r="P78" s="4">
        <f>L78/M78</f>
        <v>0</v>
      </c>
    </row>
    <row r="79" spans="1:16" ht="12.75">
      <c r="A79" s="33">
        <v>1306</v>
      </c>
      <c r="B79" s="20"/>
      <c r="C79" s="34">
        <v>20767.127</v>
      </c>
      <c r="D79" s="34">
        <v>10495.79</v>
      </c>
      <c r="E79" s="34">
        <f>C79+D79</f>
        <v>31262.917</v>
      </c>
      <c r="F79" s="34">
        <f>3.1281782*E79</f>
        <v>97795.9754278094</v>
      </c>
      <c r="H79" s="36"/>
      <c r="I79" s="34"/>
      <c r="J79" s="34"/>
      <c r="K79" s="34"/>
      <c r="L79" s="34"/>
      <c r="M79" s="34">
        <f>F79+L79</f>
        <v>97795.9754278094</v>
      </c>
      <c r="O79" s="4">
        <f>F79/M79</f>
        <v>1</v>
      </c>
      <c r="P79" s="4">
        <f>L79/M79</f>
        <v>0</v>
      </c>
    </row>
    <row r="80" spans="1:16" ht="12.75">
      <c r="A80" s="33">
        <v>1307</v>
      </c>
      <c r="B80" s="20"/>
      <c r="C80" s="34">
        <v>29735.923</v>
      </c>
      <c r="D80" s="34">
        <v>18028.193</v>
      </c>
      <c r="E80" s="34">
        <f>C80+D80</f>
        <v>47764.115999999995</v>
      </c>
      <c r="F80" s="34">
        <f>3.1281782*E80</f>
        <v>149414.66641347116</v>
      </c>
      <c r="H80" s="36"/>
      <c r="I80" s="34"/>
      <c r="J80" s="34"/>
      <c r="K80" s="34"/>
      <c r="L80" s="34"/>
      <c r="M80" s="34">
        <f>F80+L80</f>
        <v>149414.66641347116</v>
      </c>
      <c r="O80" s="4">
        <f>F80/M80</f>
        <v>1</v>
      </c>
      <c r="P80" s="4">
        <f>L80/M80</f>
        <v>0</v>
      </c>
    </row>
    <row r="81" spans="1:16" ht="12.75">
      <c r="A81" s="33">
        <v>1308</v>
      </c>
      <c r="B81" s="20"/>
      <c r="C81" s="34">
        <v>21968.185</v>
      </c>
      <c r="D81" s="34">
        <v>14370.214</v>
      </c>
      <c r="E81" s="34">
        <f>C81+D81</f>
        <v>36338.399000000005</v>
      </c>
      <c r="F81" s="34">
        <f>3.1281782*E81</f>
        <v>113672.98757470181</v>
      </c>
      <c r="H81" s="36"/>
      <c r="I81" s="34"/>
      <c r="J81" s="34"/>
      <c r="K81" s="34"/>
      <c r="L81" s="34"/>
      <c r="M81" s="34">
        <f>F81+L81</f>
        <v>113672.98757470181</v>
      </c>
      <c r="O81" s="4">
        <f>F81/M81</f>
        <v>1</v>
      </c>
      <c r="P81" s="4">
        <f>L81/M81</f>
        <v>0</v>
      </c>
    </row>
    <row r="82" spans="1:16" ht="12.75">
      <c r="A82" s="33">
        <v>1309</v>
      </c>
      <c r="B82" s="20"/>
      <c r="C82" s="34">
        <v>31580.348</v>
      </c>
      <c r="D82" s="34">
        <v>13960.433</v>
      </c>
      <c r="E82" s="34">
        <f>C82+D82</f>
        <v>45540.781</v>
      </c>
      <c r="F82" s="34">
        <f>3.1281782*E82</f>
        <v>142459.6783351742</v>
      </c>
      <c r="H82" s="36"/>
      <c r="I82" s="34"/>
      <c r="J82" s="34"/>
      <c r="K82" s="34"/>
      <c r="L82" s="34"/>
      <c r="M82" s="34">
        <f>F82+L82</f>
        <v>142459.6783351742</v>
      </c>
      <c r="O82" s="4">
        <f>F82/M82</f>
        <v>1</v>
      </c>
      <c r="P82" s="4">
        <f>L82/M82</f>
        <v>0</v>
      </c>
    </row>
    <row r="83" spans="1:16" ht="12.75">
      <c r="A83" s="33">
        <v>1310</v>
      </c>
      <c r="B83" s="20"/>
      <c r="C83" s="34"/>
      <c r="D83" s="34"/>
      <c r="E83" s="34">
        <f>C83+D83</f>
        <v>0</v>
      </c>
      <c r="F83" s="34">
        <f>3.1281782*E83</f>
        <v>0</v>
      </c>
      <c r="H83" s="36"/>
      <c r="I83" s="34"/>
      <c r="J83" s="34"/>
      <c r="K83" s="34"/>
      <c r="L83" s="34"/>
      <c r="M83" s="34">
        <f>F83+L83</f>
        <v>0</v>
      </c>
      <c r="O83" s="4" t="e">
        <f>F83/M83</f>
        <v>#VALUE!</v>
      </c>
      <c r="P83" s="4" t="e">
        <f>L83/M83</f>
        <v>#VALUE!</v>
      </c>
    </row>
    <row r="84" spans="1:16" ht="12.75">
      <c r="A84" s="33">
        <v>1311</v>
      </c>
      <c r="B84" s="20"/>
      <c r="C84" s="34"/>
      <c r="D84" s="34"/>
      <c r="E84" s="34">
        <f>C84+D84</f>
        <v>0</v>
      </c>
      <c r="F84" s="34">
        <f>3.1281782*E84</f>
        <v>0</v>
      </c>
      <c r="H84" s="36"/>
      <c r="I84" s="34"/>
      <c r="J84" s="34"/>
      <c r="K84" s="34"/>
      <c r="L84" s="34"/>
      <c r="M84" s="34">
        <f>F84+L84</f>
        <v>0</v>
      </c>
      <c r="O84" s="4" t="e">
        <f>F84/M84</f>
        <v>#VALUE!</v>
      </c>
      <c r="P84" s="4" t="e">
        <f>L84/M84</f>
        <v>#VALUE!</v>
      </c>
    </row>
    <row r="85" spans="1:16" ht="12.75">
      <c r="A85" s="33">
        <v>1312</v>
      </c>
      <c r="B85" s="20"/>
      <c r="C85" s="34">
        <v>4539.736</v>
      </c>
      <c r="D85" s="34">
        <v>1585.443</v>
      </c>
      <c r="E85" s="34">
        <f>C85+D85</f>
        <v>6125.179</v>
      </c>
      <c r="F85" s="34">
        <f>3.1281782*E85</f>
        <v>19160.6514188978</v>
      </c>
      <c r="H85" s="36"/>
      <c r="I85" s="34"/>
      <c r="J85" s="34"/>
      <c r="K85" s="34"/>
      <c r="L85" s="34"/>
      <c r="M85" s="34">
        <f>F85+L85</f>
        <v>19160.6514188978</v>
      </c>
      <c r="O85" s="4">
        <f>F85/M85</f>
        <v>1</v>
      </c>
      <c r="P85" s="4">
        <f>L85/M85</f>
        <v>0</v>
      </c>
    </row>
    <row r="86" spans="1:16" ht="12.75">
      <c r="A86" s="33">
        <v>1313</v>
      </c>
      <c r="B86" s="20"/>
      <c r="C86" s="34">
        <v>2376.572</v>
      </c>
      <c r="D86" s="34">
        <v>2244.68</v>
      </c>
      <c r="E86" s="34">
        <f>C86+D86</f>
        <v>4621.252</v>
      </c>
      <c r="F86" s="34">
        <f>3.1281782*E86</f>
        <v>14456.0997631064</v>
      </c>
      <c r="H86" s="36"/>
      <c r="I86" s="34"/>
      <c r="J86" s="34"/>
      <c r="K86" s="34"/>
      <c r="L86" s="34"/>
      <c r="M86" s="34">
        <f>F86+L86</f>
        <v>14456.0997631064</v>
      </c>
      <c r="O86" s="4">
        <f>F86/M86</f>
        <v>1</v>
      </c>
      <c r="P86" s="4">
        <f>L86/M86</f>
        <v>0</v>
      </c>
    </row>
    <row r="87" spans="1:16" ht="12.75">
      <c r="A87" s="33">
        <v>1314</v>
      </c>
      <c r="B87" s="20"/>
      <c r="C87" s="34">
        <v>9935.209</v>
      </c>
      <c r="D87" s="34">
        <v>11543.205</v>
      </c>
      <c r="E87" s="34">
        <f>C87+D87</f>
        <v>21478.414</v>
      </c>
      <c r="F87" s="34">
        <f>3.1281782*E87</f>
        <v>67188.3064453748</v>
      </c>
      <c r="H87" s="36"/>
      <c r="I87" s="34"/>
      <c r="J87" s="34"/>
      <c r="K87" s="34"/>
      <c r="L87" s="34"/>
      <c r="M87" s="34">
        <f>F87+L87</f>
        <v>67188.3064453748</v>
      </c>
      <c r="O87" s="4">
        <f>F87/M87</f>
        <v>1</v>
      </c>
      <c r="P87" s="4">
        <f>L87/M87</f>
        <v>0</v>
      </c>
    </row>
    <row r="88" spans="1:16" ht="12.75">
      <c r="A88" s="33">
        <v>1315</v>
      </c>
      <c r="B88" s="20"/>
      <c r="C88" s="34">
        <v>3895.899</v>
      </c>
      <c r="D88" s="34">
        <v>6706.103</v>
      </c>
      <c r="E88" s="34">
        <f>C88+D88</f>
        <v>10602.002</v>
      </c>
      <c r="F88" s="34">
        <f>3.1281782*E88</f>
        <v>33164.9515327564</v>
      </c>
      <c r="H88" s="36"/>
      <c r="I88" s="34"/>
      <c r="J88" s="34"/>
      <c r="K88" s="34"/>
      <c r="L88" s="34"/>
      <c r="M88" s="34">
        <f>F88+L88</f>
        <v>33164.9515327564</v>
      </c>
      <c r="O88" s="4">
        <f>F88/M88</f>
        <v>1</v>
      </c>
      <c r="P88" s="4">
        <f>L88/M88</f>
        <v>0</v>
      </c>
    </row>
    <row r="89" spans="1:16" ht="12.75">
      <c r="A89" s="33">
        <v>1316</v>
      </c>
      <c r="B89" s="20"/>
      <c r="C89" s="34">
        <v>366.826</v>
      </c>
      <c r="D89" s="34">
        <v>834.401</v>
      </c>
      <c r="E89" s="34">
        <f>C89+D89</f>
        <v>1201.2269999999999</v>
      </c>
      <c r="F89" s="34">
        <f>3.1281782*E89</f>
        <v>3757.652114651399</v>
      </c>
      <c r="H89" s="36"/>
      <c r="I89" s="34"/>
      <c r="J89" s="34"/>
      <c r="K89" s="34"/>
      <c r="L89" s="34"/>
      <c r="M89" s="34">
        <f>F89+L89</f>
        <v>3757.652114651399</v>
      </c>
      <c r="O89" s="4">
        <f>F89/M89</f>
        <v>1</v>
      </c>
      <c r="P89" s="4">
        <f>L89/M89</f>
        <v>0</v>
      </c>
    </row>
    <row r="90" spans="1:16" ht="12.75">
      <c r="A90" s="33">
        <v>1317</v>
      </c>
      <c r="B90" s="20"/>
      <c r="C90" s="34">
        <v>2533.171</v>
      </c>
      <c r="D90" s="34">
        <v>4821.142</v>
      </c>
      <c r="E90" s="34">
        <f>C90+D90</f>
        <v>7354.313</v>
      </c>
      <c r="F90" s="34">
        <f>3.1281782*E90</f>
        <v>23005.6016025766</v>
      </c>
      <c r="H90" s="36"/>
      <c r="I90" s="34"/>
      <c r="J90" s="34"/>
      <c r="K90" s="34"/>
      <c r="L90" s="34"/>
      <c r="M90" s="34">
        <f>F90+L90</f>
        <v>23005.6016025766</v>
      </c>
      <c r="O90" s="4">
        <f>F90/M90</f>
        <v>1</v>
      </c>
      <c r="P90" s="4">
        <f>L90/M90</f>
        <v>0</v>
      </c>
    </row>
    <row r="91" spans="1:16" ht="12.75">
      <c r="A91" s="33">
        <v>1318</v>
      </c>
      <c r="B91" s="20"/>
      <c r="C91" s="34">
        <v>4328.068</v>
      </c>
      <c r="D91" s="34">
        <v>6953.132</v>
      </c>
      <c r="E91" s="34">
        <f>C91+D91</f>
        <v>11281.2</v>
      </c>
      <c r="F91" s="34">
        <f>3.1281782*E91</f>
        <v>35289.60390984</v>
      </c>
      <c r="H91" s="36"/>
      <c r="I91" s="34"/>
      <c r="J91" s="34"/>
      <c r="K91" s="34"/>
      <c r="L91" s="34"/>
      <c r="M91" s="34">
        <f>F91+L91</f>
        <v>35289.60390984</v>
      </c>
      <c r="O91" s="4">
        <f>F91/M91</f>
        <v>1</v>
      </c>
      <c r="P91" s="4">
        <f>L91/M91</f>
        <v>0</v>
      </c>
    </row>
    <row r="92" spans="1:16" ht="12.75">
      <c r="A92" s="33">
        <v>1319</v>
      </c>
      <c r="B92" s="20"/>
      <c r="C92" s="34">
        <v>2894.132</v>
      </c>
      <c r="D92" s="34">
        <v>5716.765</v>
      </c>
      <c r="E92" s="34">
        <f>C92+D92</f>
        <v>8610.897</v>
      </c>
      <c r="F92" s="34">
        <f>3.1281782*E92</f>
        <v>26936.420277845402</v>
      </c>
      <c r="H92" s="36"/>
      <c r="I92" s="34"/>
      <c r="J92" s="34"/>
      <c r="K92" s="34"/>
      <c r="L92" s="34"/>
      <c r="M92" s="34">
        <f>F92+L92</f>
        <v>26936.420277845402</v>
      </c>
      <c r="O92" s="4">
        <f>F92/M92</f>
        <v>1</v>
      </c>
      <c r="P92" s="4">
        <f>L92/M92</f>
        <v>0</v>
      </c>
    </row>
    <row r="93" spans="1:16" ht="12.75">
      <c r="A93" s="33">
        <v>1320</v>
      </c>
      <c r="B93" s="20"/>
      <c r="C93" s="34">
        <v>2796.7</v>
      </c>
      <c r="D93" s="34">
        <v>5134.041</v>
      </c>
      <c r="E93" s="34">
        <f>C93+D93</f>
        <v>7930.741</v>
      </c>
      <c r="F93" s="34">
        <f>3.1281782*E93</f>
        <v>24808.7711060462</v>
      </c>
      <c r="H93" s="36"/>
      <c r="I93" s="34"/>
      <c r="J93" s="34"/>
      <c r="K93" s="34"/>
      <c r="L93" s="34"/>
      <c r="M93" s="34">
        <f>F93+L93</f>
        <v>24808.7711060462</v>
      </c>
      <c r="O93" s="4">
        <f>F93/M93</f>
        <v>1</v>
      </c>
      <c r="P93" s="4">
        <f>L93/M93</f>
        <v>0</v>
      </c>
    </row>
    <row r="94" spans="1:16" ht="12.75">
      <c r="A94" s="33">
        <v>1321</v>
      </c>
      <c r="B94" s="20"/>
      <c r="C94" s="34">
        <v>3058.508</v>
      </c>
      <c r="D94" s="34">
        <v>1795.907</v>
      </c>
      <c r="E94" s="34">
        <f>C94+D94</f>
        <v>4854.415</v>
      </c>
      <c r="F94" s="34">
        <f>3.1281782*E94</f>
        <v>15185.475176753</v>
      </c>
      <c r="H94" s="36"/>
      <c r="I94" s="34"/>
      <c r="J94" s="34"/>
      <c r="K94" s="34"/>
      <c r="L94" s="34"/>
      <c r="M94" s="34">
        <f>F94+L94</f>
        <v>15185.475176753</v>
      </c>
      <c r="O94" s="4">
        <f>F94/M94</f>
        <v>1</v>
      </c>
      <c r="P94" s="4">
        <f>L94/M94</f>
        <v>0</v>
      </c>
    </row>
    <row r="95" spans="1:16" ht="12.75">
      <c r="A95" s="33">
        <v>1322</v>
      </c>
      <c r="B95" s="20"/>
      <c r="C95" s="34">
        <f>(C94+C96)/2</f>
        <v>1694.9265</v>
      </c>
      <c r="D95" s="34">
        <f>(D94+D96)/2</f>
        <v>1072.244</v>
      </c>
      <c r="E95" s="34">
        <f>(E94+E96)/2</f>
        <v>2767.1705</v>
      </c>
      <c r="F95" s="34">
        <f>(F94+F96)/2</f>
        <v>8656.202433783099</v>
      </c>
      <c r="H95" s="36"/>
      <c r="I95" s="34"/>
      <c r="J95" s="34"/>
      <c r="K95" s="34"/>
      <c r="L95" s="34"/>
      <c r="M95" s="34">
        <f>F95+L95</f>
        <v>8656.202433783099</v>
      </c>
      <c r="O95" s="4">
        <f>F95/M95</f>
        <v>1</v>
      </c>
      <c r="P95" s="4">
        <f>L95/M95</f>
        <v>0</v>
      </c>
    </row>
    <row r="96" spans="1:16" ht="12.75">
      <c r="A96" s="33">
        <v>1323</v>
      </c>
      <c r="B96" s="20"/>
      <c r="C96" s="34">
        <v>331.345</v>
      </c>
      <c r="D96" s="34">
        <v>348.581</v>
      </c>
      <c r="E96" s="34">
        <f>C96+D96</f>
        <v>679.926</v>
      </c>
      <c r="F96" s="34">
        <f>3.1281782*E96</f>
        <v>2126.9296908132</v>
      </c>
      <c r="H96" s="36"/>
      <c r="I96" s="34"/>
      <c r="J96" s="34"/>
      <c r="K96" s="34"/>
      <c r="L96" s="34"/>
      <c r="M96" s="34">
        <f>F96+L96</f>
        <v>2126.9296908132</v>
      </c>
      <c r="O96" s="4">
        <f>F96/M96</f>
        <v>1</v>
      </c>
      <c r="P96" s="4">
        <f>L96/M96</f>
        <v>0</v>
      </c>
    </row>
    <row r="97" spans="1:16" ht="12.75">
      <c r="A97" s="33">
        <v>1324</v>
      </c>
      <c r="B97" s="20"/>
      <c r="C97" s="34">
        <v>561.566</v>
      </c>
      <c r="D97" s="34"/>
      <c r="E97" s="34">
        <f>C97+D97</f>
        <v>561.566</v>
      </c>
      <c r="F97" s="34">
        <f>3.1281782*E97</f>
        <v>1756.6785190612</v>
      </c>
      <c r="H97" s="36"/>
      <c r="I97" s="34"/>
      <c r="J97" s="34"/>
      <c r="K97" s="34"/>
      <c r="L97" s="34"/>
      <c r="M97" s="34">
        <f>F97+L97</f>
        <v>1756.6785190612</v>
      </c>
      <c r="O97" s="4">
        <f>F97/M97</f>
        <v>1</v>
      </c>
      <c r="P97" s="4">
        <f>L97/M97</f>
        <v>0</v>
      </c>
    </row>
    <row r="98" spans="1:16" ht="12.75">
      <c r="A98" s="33">
        <v>1325</v>
      </c>
      <c r="B98" s="20"/>
      <c r="C98" s="34">
        <v>37.458</v>
      </c>
      <c r="D98" s="34"/>
      <c r="E98" s="34">
        <f>C98+D98</f>
        <v>37.458</v>
      </c>
      <c r="F98" s="34">
        <f>3.1281782*E98</f>
        <v>117.17529901559999</v>
      </c>
      <c r="H98" s="36"/>
      <c r="I98" s="34"/>
      <c r="J98" s="34"/>
      <c r="K98" s="34"/>
      <c r="L98" s="34"/>
      <c r="M98" s="34">
        <f>F98+L98</f>
        <v>117.17529901559999</v>
      </c>
      <c r="O98" s="4">
        <f>F98/M98</f>
        <v>1</v>
      </c>
      <c r="P98" s="4">
        <f>L98/M98</f>
        <v>0</v>
      </c>
    </row>
    <row r="99" spans="1:16" ht="12.75">
      <c r="A99" s="33">
        <v>1326</v>
      </c>
      <c r="B99" s="20"/>
      <c r="C99" s="34">
        <v>45.314</v>
      </c>
      <c r="D99" s="34"/>
      <c r="E99" s="34">
        <f>C99+D99</f>
        <v>45.314</v>
      </c>
      <c r="F99" s="34">
        <f>3.1281782*E99</f>
        <v>141.7502669548</v>
      </c>
      <c r="H99" s="36"/>
      <c r="I99" s="34"/>
      <c r="J99" s="34"/>
      <c r="K99" s="34"/>
      <c r="L99" s="34"/>
      <c r="M99" s="34">
        <f>F99+L99</f>
        <v>141.7502669548</v>
      </c>
      <c r="O99" s="4">
        <f>F99/M99</f>
        <v>1</v>
      </c>
      <c r="P99" s="4">
        <f>L99/M99</f>
        <v>0</v>
      </c>
    </row>
    <row r="100" spans="1:16" ht="12.75">
      <c r="A100" s="33">
        <v>1327</v>
      </c>
      <c r="B100" s="20"/>
      <c r="C100" s="34">
        <v>76.215</v>
      </c>
      <c r="D100" s="34"/>
      <c r="E100" s="34">
        <f>C100+D100</f>
        <v>76.215</v>
      </c>
      <c r="F100" s="34">
        <f>3.1281782*E100</f>
        <v>238.414101513</v>
      </c>
      <c r="H100" s="36"/>
      <c r="I100" s="34"/>
      <c r="J100" s="34"/>
      <c r="K100" s="34"/>
      <c r="L100" s="34"/>
      <c r="M100" s="34">
        <f>F100+L100</f>
        <v>238.414101513</v>
      </c>
      <c r="O100" s="4">
        <f>F100/M100</f>
        <v>1</v>
      </c>
      <c r="P100" s="4">
        <f>L100/M100</f>
        <v>0</v>
      </c>
    </row>
    <row r="101" spans="1:16" ht="12.75">
      <c r="A101" s="33">
        <v>1328</v>
      </c>
      <c r="B101" s="20"/>
      <c r="C101" s="34">
        <v>48.567</v>
      </c>
      <c r="D101" s="34"/>
      <c r="E101" s="34">
        <f>C101+D101</f>
        <v>48.567</v>
      </c>
      <c r="F101" s="34">
        <f>3.1281782*E101</f>
        <v>151.9262306394</v>
      </c>
      <c r="H101" s="36"/>
      <c r="I101" s="34"/>
      <c r="J101" s="34"/>
      <c r="K101" s="34"/>
      <c r="L101" s="34"/>
      <c r="M101" s="34">
        <f>F101+L101</f>
        <v>151.9262306394</v>
      </c>
      <c r="O101" s="4">
        <f>F101/M101</f>
        <v>1</v>
      </c>
      <c r="P101" s="4">
        <f>L101/M101</f>
        <v>0</v>
      </c>
    </row>
    <row r="102" spans="1:16" ht="12.75">
      <c r="A102" s="33">
        <v>1329</v>
      </c>
      <c r="B102" s="20"/>
      <c r="C102" s="34">
        <v>233.6</v>
      </c>
      <c r="D102" s="34">
        <v>46.262</v>
      </c>
      <c r="E102" s="34">
        <f>C102+D102</f>
        <v>279.86199999999997</v>
      </c>
      <c r="F102" s="34">
        <f>3.1281782*E102</f>
        <v>875.4582074083999</v>
      </c>
      <c r="H102" s="36"/>
      <c r="I102" s="34"/>
      <c r="J102" s="34"/>
      <c r="K102" s="34"/>
      <c r="L102" s="34"/>
      <c r="M102" s="34">
        <f>F102+L102</f>
        <v>875.4582074083999</v>
      </c>
      <c r="O102" s="4">
        <f>F102/M102</f>
        <v>1</v>
      </c>
      <c r="P102" s="4">
        <f>L102/M102</f>
        <v>0</v>
      </c>
    </row>
    <row r="103" spans="1:16" ht="12.75">
      <c r="A103" s="33">
        <v>1330</v>
      </c>
      <c r="B103" s="20"/>
      <c r="C103" s="34">
        <v>159.326</v>
      </c>
      <c r="D103" s="34"/>
      <c r="E103" s="34">
        <f>C103+D103</f>
        <v>159.326</v>
      </c>
      <c r="F103" s="34">
        <f>3.1281782*E103</f>
        <v>498.4001198931999</v>
      </c>
      <c r="H103" s="36"/>
      <c r="I103" s="34"/>
      <c r="J103" s="34"/>
      <c r="K103" s="34"/>
      <c r="L103" s="34"/>
      <c r="M103" s="34">
        <f>F103+L103</f>
        <v>498.4001198931999</v>
      </c>
      <c r="O103" s="4">
        <f>F103/M103</f>
        <v>1</v>
      </c>
      <c r="P103" s="4">
        <f>L103/M103</f>
        <v>0</v>
      </c>
    </row>
    <row r="104" spans="1:16" ht="12.75">
      <c r="A104" s="33">
        <v>1331</v>
      </c>
      <c r="B104" s="20"/>
      <c r="C104" s="34">
        <v>163.208</v>
      </c>
      <c r="D104" s="34">
        <v>203.918</v>
      </c>
      <c r="E104" s="34">
        <f>C104+D104</f>
        <v>367.126</v>
      </c>
      <c r="F104" s="34">
        <f>3.1281782*E104</f>
        <v>1148.4355498531997</v>
      </c>
      <c r="H104" s="36"/>
      <c r="I104" s="34"/>
      <c r="J104" s="34"/>
      <c r="K104" s="34"/>
      <c r="L104" s="34"/>
      <c r="M104" s="34">
        <f>F104+L104</f>
        <v>1148.4355498531997</v>
      </c>
      <c r="O104" s="4">
        <f>F104/M104</f>
        <v>1</v>
      </c>
      <c r="P104" s="4">
        <f>L104/M104</f>
        <v>0</v>
      </c>
    </row>
    <row r="105" spans="1:16" ht="12.75">
      <c r="A105" s="33">
        <v>1332</v>
      </c>
      <c r="B105" s="20"/>
      <c r="C105" s="34">
        <v>133.106</v>
      </c>
      <c r="D105" s="34"/>
      <c r="E105" s="34">
        <f>C105+D105</f>
        <v>133.106</v>
      </c>
      <c r="F105" s="34">
        <f>3.1281782*E105</f>
        <v>416.37928748919995</v>
      </c>
      <c r="H105" s="36"/>
      <c r="I105" s="34"/>
      <c r="J105" s="34"/>
      <c r="K105" s="34"/>
      <c r="L105" s="34"/>
      <c r="M105" s="34">
        <f>F105+L105</f>
        <v>416.37928748919995</v>
      </c>
      <c r="O105" s="4">
        <f>F105/M105</f>
        <v>1</v>
      </c>
      <c r="P105" s="4">
        <f>L105/M105</f>
        <v>0</v>
      </c>
    </row>
    <row r="106" spans="1:16" ht="12.75">
      <c r="A106" s="33">
        <v>1333</v>
      </c>
      <c r="B106" s="20"/>
      <c r="C106" s="34">
        <v>212.341</v>
      </c>
      <c r="D106" s="34"/>
      <c r="E106" s="34">
        <f>C106+D106</f>
        <v>212.341</v>
      </c>
      <c r="F106" s="34">
        <f>3.1281782*E106</f>
        <v>664.2404871662</v>
      </c>
      <c r="H106" s="36"/>
      <c r="I106" s="34"/>
      <c r="J106" s="34"/>
      <c r="K106" s="34"/>
      <c r="L106" s="34"/>
      <c r="M106" s="34">
        <f>F106+L106</f>
        <v>664.2404871662</v>
      </c>
      <c r="O106" s="4">
        <f>F106/M106</f>
        <v>1</v>
      </c>
      <c r="P106" s="4">
        <f>L106/M106</f>
        <v>0</v>
      </c>
    </row>
    <row r="107" spans="1:16" ht="12.75">
      <c r="A107" s="33">
        <v>1334</v>
      </c>
      <c r="B107" s="20"/>
      <c r="C107" s="34">
        <v>123.768</v>
      </c>
      <c r="D107" s="34"/>
      <c r="E107" s="34">
        <f>C107+D107</f>
        <v>123.768</v>
      </c>
      <c r="F107" s="34">
        <f>3.1281782*E107</f>
        <v>387.1683594576</v>
      </c>
      <c r="H107" s="36"/>
      <c r="I107" s="34"/>
      <c r="J107" s="34"/>
      <c r="K107" s="34"/>
      <c r="L107" s="34"/>
      <c r="M107" s="34">
        <f>F107+L107</f>
        <v>387.1683594576</v>
      </c>
      <c r="O107" s="4">
        <f>F107/M107</f>
        <v>1</v>
      </c>
      <c r="P107" s="4">
        <f>L107/M107</f>
        <v>0</v>
      </c>
    </row>
    <row r="108" spans="1:16" ht="12.75">
      <c r="A108" s="33">
        <v>1335</v>
      </c>
      <c r="B108" s="20"/>
      <c r="C108" s="34">
        <v>208.937</v>
      </c>
      <c r="D108" s="34"/>
      <c r="E108" s="34">
        <f>C108+D108</f>
        <v>208.937</v>
      </c>
      <c r="F108" s="34">
        <v>709.429</v>
      </c>
      <c r="H108" s="36"/>
      <c r="I108" s="34"/>
      <c r="J108" s="34"/>
      <c r="K108" s="34"/>
      <c r="L108" s="34"/>
      <c r="M108" s="34">
        <f>F108+L108</f>
        <v>709.429</v>
      </c>
      <c r="O108" s="4">
        <f>F108/M108</f>
        <v>1</v>
      </c>
      <c r="P108" s="4">
        <f>L108/M108</f>
        <v>0</v>
      </c>
    </row>
    <row r="109" spans="1:16" ht="12.75">
      <c r="A109" s="33">
        <v>1336</v>
      </c>
      <c r="B109" s="20"/>
      <c r="C109" s="34">
        <v>909.116</v>
      </c>
      <c r="D109" s="34"/>
      <c r="E109" s="34">
        <f>C109+D109</f>
        <v>909.116</v>
      </c>
      <c r="F109" s="34">
        <v>3288.631</v>
      </c>
      <c r="H109" s="36"/>
      <c r="I109" s="34"/>
      <c r="J109" s="34"/>
      <c r="K109" s="34"/>
      <c r="L109" s="34"/>
      <c r="M109" s="34">
        <f>F109+L109</f>
        <v>3288.631</v>
      </c>
      <c r="O109" s="4">
        <f>F109/M109</f>
        <v>1</v>
      </c>
      <c r="P109" s="4">
        <f>L109/M109</f>
        <v>0</v>
      </c>
    </row>
    <row r="110" spans="1:16" ht="12.75">
      <c r="A110" s="33">
        <v>1337</v>
      </c>
      <c r="B110" s="20"/>
      <c r="C110" s="34">
        <v>364.883</v>
      </c>
      <c r="D110" s="34"/>
      <c r="E110" s="34">
        <f>C110+D110</f>
        <v>364.883</v>
      </c>
      <c r="F110" s="34">
        <v>1321.189</v>
      </c>
      <c r="H110" s="36"/>
      <c r="I110" s="34"/>
      <c r="J110" s="34"/>
      <c r="K110" s="34"/>
      <c r="L110" s="34"/>
      <c r="M110" s="34">
        <f>F110+L110</f>
        <v>1321.189</v>
      </c>
      <c r="O110" s="4">
        <f>F110/M110</f>
        <v>1</v>
      </c>
      <c r="P110" s="4">
        <f>L110/M110</f>
        <v>0</v>
      </c>
    </row>
    <row r="111" spans="1:16" ht="12.75">
      <c r="A111" s="33">
        <v>1338</v>
      </c>
      <c r="B111" s="20"/>
      <c r="C111" s="34">
        <v>412.28</v>
      </c>
      <c r="D111" s="34"/>
      <c r="E111" s="34">
        <f>C111+D111</f>
        <v>412.28</v>
      </c>
      <c r="F111" s="34">
        <v>1490.71</v>
      </c>
      <c r="H111" s="36"/>
      <c r="I111" s="34"/>
      <c r="J111" s="34"/>
      <c r="K111" s="34"/>
      <c r="L111" s="34"/>
      <c r="M111" s="34">
        <f>F111+L111</f>
        <v>1490.71</v>
      </c>
      <c r="O111" s="4">
        <f>F111/M111</f>
        <v>1</v>
      </c>
      <c r="P111" s="4">
        <f>L111/M111</f>
        <v>0</v>
      </c>
    </row>
    <row r="112" spans="1:16" ht="12.75">
      <c r="A112" s="33">
        <v>1339</v>
      </c>
      <c r="B112" s="20"/>
      <c r="C112" s="34">
        <v>520.196</v>
      </c>
      <c r="D112" s="34"/>
      <c r="E112" s="34">
        <f>C112+D112</f>
        <v>520.196</v>
      </c>
      <c r="F112" s="34">
        <v>1877.18</v>
      </c>
      <c r="H112" s="36"/>
      <c r="I112" s="34"/>
      <c r="J112" s="34"/>
      <c r="K112" s="34"/>
      <c r="L112" s="34"/>
      <c r="M112" s="34">
        <f>F112+L112</f>
        <v>1877.18</v>
      </c>
      <c r="O112" s="4">
        <f>F112/M112</f>
        <v>1</v>
      </c>
      <c r="P112" s="4">
        <f>L112/M112</f>
        <v>0</v>
      </c>
    </row>
    <row r="113" spans="1:16" ht="12.75">
      <c r="A113" s="33">
        <v>1340</v>
      </c>
      <c r="B113" s="20"/>
      <c r="C113" s="34">
        <v>536.485</v>
      </c>
      <c r="D113" s="34"/>
      <c r="E113" s="34">
        <f>C113+D113</f>
        <v>536.485</v>
      </c>
      <c r="F113" s="34">
        <v>1937.005</v>
      </c>
      <c r="H113" s="36"/>
      <c r="I113" s="34"/>
      <c r="J113" s="34"/>
      <c r="K113" s="34"/>
      <c r="L113" s="34"/>
      <c r="M113" s="34">
        <f>F113+L113</f>
        <v>1937.005</v>
      </c>
      <c r="O113" s="4">
        <f>F113/M113</f>
        <v>1</v>
      </c>
      <c r="P113" s="4">
        <f>L113/M113</f>
        <v>0</v>
      </c>
    </row>
    <row r="114" spans="1:16" ht="12.75">
      <c r="A114" s="33">
        <v>1341</v>
      </c>
      <c r="B114" s="20"/>
      <c r="C114" s="34">
        <v>313.596</v>
      </c>
      <c r="D114" s="34"/>
      <c r="E114" s="34">
        <f>C114+D114</f>
        <v>313.596</v>
      </c>
      <c r="F114" s="34">
        <v>1131.909</v>
      </c>
      <c r="H114" s="36"/>
      <c r="I114" s="34"/>
      <c r="J114" s="34"/>
      <c r="K114" s="34"/>
      <c r="L114" s="34"/>
      <c r="M114" s="34">
        <f>F114+L114</f>
        <v>1131.909</v>
      </c>
      <c r="O114" s="4">
        <f>F114/M114</f>
        <v>1</v>
      </c>
      <c r="P114" s="4">
        <f>L114/M114</f>
        <v>0</v>
      </c>
    </row>
    <row r="115" spans="1:16" ht="12.75">
      <c r="A115" s="33">
        <v>1342</v>
      </c>
      <c r="B115" s="20"/>
      <c r="C115" s="34">
        <v>1489.366</v>
      </c>
      <c r="D115" s="34"/>
      <c r="E115" s="34">
        <f>C115+D115</f>
        <v>1489.366</v>
      </c>
      <c r="F115" s="34">
        <v>5365.527</v>
      </c>
      <c r="H115" s="36"/>
      <c r="I115" s="34"/>
      <c r="J115" s="34"/>
      <c r="K115" s="34"/>
      <c r="L115" s="34"/>
      <c r="M115" s="34">
        <f>F115+L115</f>
        <v>5365.527</v>
      </c>
      <c r="O115" s="4">
        <f>F115/M115</f>
        <v>1</v>
      </c>
      <c r="P115" s="4">
        <f>L115/M115</f>
        <v>0</v>
      </c>
    </row>
    <row r="116" spans="1:16" ht="12.75">
      <c r="A116" s="33">
        <v>1343</v>
      </c>
      <c r="B116" s="20"/>
      <c r="C116" s="34">
        <v>4096.418</v>
      </c>
      <c r="D116" s="34"/>
      <c r="E116" s="34">
        <f>C116+D116</f>
        <v>4096.418</v>
      </c>
      <c r="F116" s="34">
        <v>14753.08</v>
      </c>
      <c r="H116" s="36"/>
      <c r="I116" s="34"/>
      <c r="J116" s="34"/>
      <c r="K116" s="34"/>
      <c r="L116" s="34"/>
      <c r="M116" s="34">
        <f>F116+L116</f>
        <v>14753.08</v>
      </c>
      <c r="O116" s="4">
        <f>F116/M116</f>
        <v>1</v>
      </c>
      <c r="P116" s="4">
        <f>L116/M116</f>
        <v>0</v>
      </c>
    </row>
    <row r="117" spans="1:16" ht="12.75">
      <c r="A117" s="33">
        <v>1344</v>
      </c>
      <c r="B117" s="20"/>
      <c r="C117" s="34">
        <v>11702.486</v>
      </c>
      <c r="D117" s="34"/>
      <c r="E117" s="34">
        <f>C117+D117</f>
        <v>11702.486</v>
      </c>
      <c r="F117" s="34">
        <v>40627.44</v>
      </c>
      <c r="H117" s="36"/>
      <c r="I117" s="34">
        <v>936.47</v>
      </c>
      <c r="J117" s="34"/>
      <c r="K117" s="34">
        <f>I117+J117</f>
        <v>936.47</v>
      </c>
      <c r="L117" s="34">
        <v>39327.241</v>
      </c>
      <c r="M117" s="34">
        <f>F117+L117</f>
        <v>79954.68100000001</v>
      </c>
      <c r="O117" s="4">
        <f>F117/M117</f>
        <v>0.5081308497747618</v>
      </c>
      <c r="P117" s="4">
        <f>L117/M117</f>
        <v>0.4918691502252382</v>
      </c>
    </row>
    <row r="118" spans="1:16" ht="12.75">
      <c r="A118" s="33">
        <v>1345</v>
      </c>
      <c r="B118" s="20"/>
      <c r="C118" s="34">
        <v>7229.722</v>
      </c>
      <c r="D118" s="34">
        <v>555.694</v>
      </c>
      <c r="E118" s="34">
        <f>C118+D118</f>
        <v>7785.415999999999</v>
      </c>
      <c r="F118" s="34">
        <v>26674.41</v>
      </c>
      <c r="H118" s="36"/>
      <c r="I118" s="34">
        <v>263.585</v>
      </c>
      <c r="J118" s="34"/>
      <c r="K118" s="34">
        <f>I118+J118</f>
        <v>263.585</v>
      </c>
      <c r="L118" s="34">
        <v>9970.181</v>
      </c>
      <c r="M118" s="34">
        <f>F118+L118</f>
        <v>36644.591</v>
      </c>
      <c r="O118" s="4">
        <f>F118/M118</f>
        <v>0.7279221645562916</v>
      </c>
      <c r="P118" s="4">
        <f>L118/M118</f>
        <v>0.27207783544370845</v>
      </c>
    </row>
    <row r="119" spans="1:16" ht="12.75">
      <c r="A119" s="33">
        <v>1346</v>
      </c>
      <c r="B119" s="20"/>
      <c r="C119" s="34">
        <v>2228.384</v>
      </c>
      <c r="D119" s="34">
        <v>68.854</v>
      </c>
      <c r="E119" s="34">
        <f>C119+D119</f>
        <v>2297.238</v>
      </c>
      <c r="F119" s="34">
        <v>8046.58</v>
      </c>
      <c r="H119" s="36"/>
      <c r="I119" s="34">
        <v>214.237</v>
      </c>
      <c r="J119" s="34"/>
      <c r="K119" s="34">
        <f>I119+J119</f>
        <v>214.237</v>
      </c>
      <c r="L119" s="34">
        <v>8324.616</v>
      </c>
      <c r="M119" s="34">
        <f>F119+L119</f>
        <v>16371.196</v>
      </c>
      <c r="O119" s="4">
        <f>F119/M119</f>
        <v>0.4915083784959877</v>
      </c>
      <c r="P119" s="4">
        <f>L119/M119</f>
        <v>0.5084916215040123</v>
      </c>
    </row>
    <row r="120" spans="1:16" ht="12.75">
      <c r="A120" s="33">
        <v>1347</v>
      </c>
      <c r="B120" s="20"/>
      <c r="C120" s="34">
        <v>1327.067</v>
      </c>
      <c r="D120" s="34">
        <v>30.457</v>
      </c>
      <c r="E120" s="34">
        <f>C120+D120</f>
        <v>1357.5240000000001</v>
      </c>
      <c r="F120" s="34">
        <v>4829.07</v>
      </c>
      <c r="H120" s="36"/>
      <c r="I120" s="34">
        <v>909.829</v>
      </c>
      <c r="J120" s="34"/>
      <c r="K120" s="34">
        <f>I120+J120</f>
        <v>909.829</v>
      </c>
      <c r="L120" s="34">
        <f>40.2192605657823*I120</f>
        <v>36592.64962130514</v>
      </c>
      <c r="M120" s="34">
        <f>F120+L120</f>
        <v>41421.71962130514</v>
      </c>
      <c r="O120" s="4">
        <f>F120/M120</f>
        <v>0.11658304010913592</v>
      </c>
      <c r="P120" s="4">
        <f>L120/M120</f>
        <v>0.8834169598908641</v>
      </c>
    </row>
    <row r="121" spans="1:16" ht="12.75">
      <c r="A121" s="33">
        <v>1348</v>
      </c>
      <c r="B121" s="20"/>
      <c r="C121" s="34">
        <v>2369.235</v>
      </c>
      <c r="D121" s="34"/>
      <c r="E121" s="34">
        <f>C121+D121</f>
        <v>2369.235</v>
      </c>
      <c r="F121" s="34">
        <v>8460.15</v>
      </c>
      <c r="H121" s="36"/>
      <c r="I121" s="34">
        <v>1076.587</v>
      </c>
      <c r="J121" s="34"/>
      <c r="K121" s="34">
        <f>I121+J121</f>
        <v>1076.587</v>
      </c>
      <c r="L121" s="34">
        <f>40.2192605657823*I121</f>
        <v>43299.53307473387</v>
      </c>
      <c r="M121" s="34">
        <f>F121+L121</f>
        <v>51759.68307473387</v>
      </c>
      <c r="O121" s="4">
        <f>F121/M121</f>
        <v>0.1634505757654023</v>
      </c>
      <c r="P121" s="4">
        <f>L121/M121</f>
        <v>0.8365494242345977</v>
      </c>
    </row>
    <row r="122" spans="1:16" ht="12.75">
      <c r="A122" s="33">
        <v>1349</v>
      </c>
      <c r="B122" s="20"/>
      <c r="C122" s="34">
        <v>1745.573</v>
      </c>
      <c r="D122" s="34"/>
      <c r="E122" s="34">
        <f>C122+D122</f>
        <v>1745.573</v>
      </c>
      <c r="F122" s="34">
        <v>6269.5</v>
      </c>
      <c r="H122" s="36"/>
      <c r="I122" s="34">
        <v>549.947</v>
      </c>
      <c r="J122" s="34"/>
      <c r="K122" s="34">
        <f>I122+J122</f>
        <v>549.947</v>
      </c>
      <c r="L122" s="34">
        <f>40.2192605657823*I122</f>
        <v>22118.461690370277</v>
      </c>
      <c r="M122" s="34">
        <f>F122+L122</f>
        <v>28387.961690370277</v>
      </c>
      <c r="O122" s="4">
        <f>F122/M122</f>
        <v>0.22085065734489598</v>
      </c>
      <c r="P122" s="4">
        <f>L122/M122</f>
        <v>0.779149342655104</v>
      </c>
    </row>
    <row r="123" spans="1:16" ht="12.75">
      <c r="A123" s="33">
        <v>1350</v>
      </c>
      <c r="B123" s="20"/>
      <c r="C123" s="34">
        <v>2185.685</v>
      </c>
      <c r="D123" s="34"/>
      <c r="E123" s="34">
        <f>C123+D123</f>
        <v>2185.685</v>
      </c>
      <c r="F123" s="34">
        <v>7849.07</v>
      </c>
      <c r="H123" s="36"/>
      <c r="I123" s="34">
        <v>628.585</v>
      </c>
      <c r="J123" s="34"/>
      <c r="K123" s="34">
        <f>I123+J123</f>
        <v>628.585</v>
      </c>
      <c r="L123" s="34">
        <f>40.2192605657823*I123</f>
        <v>25281.22390274227</v>
      </c>
      <c r="M123" s="34">
        <f>F123+L123</f>
        <v>33130.29390274227</v>
      </c>
      <c r="O123" s="4">
        <f>F123/M123</f>
        <v>0.23691519378131187</v>
      </c>
      <c r="P123" s="4">
        <f>L123/M123</f>
        <v>0.7630848062186881</v>
      </c>
    </row>
    <row r="124" spans="1:16" ht="12.75">
      <c r="A124" s="33">
        <v>1351</v>
      </c>
      <c r="B124" s="20"/>
      <c r="C124" s="34">
        <v>5786.309</v>
      </c>
      <c r="D124" s="34"/>
      <c r="E124" s="34">
        <f>C124+D124</f>
        <v>5786.309</v>
      </c>
      <c r="F124" s="34">
        <v>21754.81</v>
      </c>
      <c r="H124" s="36"/>
      <c r="I124" s="34">
        <v>1783.759</v>
      </c>
      <c r="J124" s="34"/>
      <c r="K124" s="34">
        <f>I124+J124</f>
        <v>1783.759</v>
      </c>
      <c r="L124" s="34">
        <v>76759.448</v>
      </c>
      <c r="M124" s="34">
        <f>F124+L124</f>
        <v>98514.258</v>
      </c>
      <c r="O124" s="4">
        <f>F124/M124</f>
        <v>0.2208290499432072</v>
      </c>
      <c r="P124" s="4">
        <f>L124/M124</f>
        <v>0.7791709500567928</v>
      </c>
    </row>
    <row r="125" spans="1:16" ht="12.75">
      <c r="A125" s="33">
        <v>1352</v>
      </c>
      <c r="B125" s="20"/>
      <c r="C125" s="34">
        <v>21023.793</v>
      </c>
      <c r="D125" s="34"/>
      <c r="E125" s="34">
        <f>C125+D125</f>
        <v>21023.793</v>
      </c>
      <c r="F125" s="34">
        <f>3.86194838323702*E125</f>
        <v>81192.80338585978</v>
      </c>
      <c r="H125" s="36"/>
      <c r="I125" s="34">
        <v>1968.75</v>
      </c>
      <c r="J125" s="34"/>
      <c r="K125" s="34">
        <f>I125+J125</f>
        <v>1968.75</v>
      </c>
      <c r="L125" s="34">
        <f>43.0920648919096*K125</f>
        <v>84837.50275594703</v>
      </c>
      <c r="M125" s="34">
        <f>F125+L125</f>
        <v>166030.30614180682</v>
      </c>
      <c r="O125" s="4">
        <f>F125/M125</f>
        <v>0.48902399370698524</v>
      </c>
      <c r="P125" s="4">
        <f>L125/M125</f>
        <v>0.5109760062930147</v>
      </c>
    </row>
    <row r="126" spans="1:16" ht="12.75">
      <c r="A126" s="33">
        <v>1353</v>
      </c>
      <c r="B126" s="20"/>
      <c r="C126" s="34">
        <v>25367.285</v>
      </c>
      <c r="D126" s="34">
        <v>880.071</v>
      </c>
      <c r="E126" s="34">
        <f>C126+D126</f>
        <v>26247.356</v>
      </c>
      <c r="F126" s="34">
        <f>3.86194838323702*E126</f>
        <v>101365.93406844648</v>
      </c>
      <c r="H126" s="36"/>
      <c r="I126" s="34">
        <v>994.321</v>
      </c>
      <c r="J126" s="34"/>
      <c r="K126" s="34">
        <f>I126+J126</f>
        <v>994.321</v>
      </c>
      <c r="L126" s="34">
        <f>43.0920648919096*K126</f>
        <v>42847.34505538845</v>
      </c>
      <c r="M126" s="34">
        <f>F126+L126</f>
        <v>144213.27912383492</v>
      </c>
      <c r="O126" s="4">
        <f>F126/M126</f>
        <v>0.7028890451995359</v>
      </c>
      <c r="P126" s="4">
        <f>L126/M126</f>
        <v>0.29711095480046423</v>
      </c>
    </row>
    <row r="127" spans="1:16" ht="12.75">
      <c r="A127" s="33">
        <v>1354</v>
      </c>
      <c r="B127" s="20"/>
      <c r="C127" s="34">
        <v>18451.686</v>
      </c>
      <c r="D127" s="34">
        <v>4224.347</v>
      </c>
      <c r="E127" s="34">
        <f>C127+D127</f>
        <v>22676.033000000003</v>
      </c>
      <c r="F127" s="34">
        <f>3.86194838323702*E127</f>
        <v>87573.66898257931</v>
      </c>
      <c r="H127" s="36"/>
      <c r="I127" s="34">
        <v>3297.389</v>
      </c>
      <c r="J127" s="34"/>
      <c r="K127" s="34">
        <f>I127+J127</f>
        <v>3297.389</v>
      </c>
      <c r="L127" s="34">
        <f>43.0920648919096*K127</f>
        <v>142091.30076186892</v>
      </c>
      <c r="M127" s="34">
        <f>F127+L127</f>
        <v>229664.96974444823</v>
      </c>
      <c r="O127" s="4">
        <f>F127/M127</f>
        <v>0.3813105197541614</v>
      </c>
      <c r="P127" s="4">
        <f>L127/M127</f>
        <v>0.6186894802458386</v>
      </c>
    </row>
    <row r="128" spans="1:16" ht="12.75">
      <c r="A128" s="33">
        <v>1355</v>
      </c>
      <c r="B128" s="20"/>
      <c r="C128" s="34">
        <v>9900.475</v>
      </c>
      <c r="D128" s="34">
        <v>1580.559</v>
      </c>
      <c r="E128" s="34">
        <f>C128+D128</f>
        <v>11481.034</v>
      </c>
      <c r="F128" s="34">
        <f>3.86194838323702*E128</f>
        <v>44339.16069418925</v>
      </c>
      <c r="H128" s="36"/>
      <c r="I128" s="34">
        <v>1654.668</v>
      </c>
      <c r="J128" s="34"/>
      <c r="K128" s="34">
        <f>I128+J128</f>
        <v>1654.668</v>
      </c>
      <c r="L128" s="34">
        <f>43.0920648919096*K128</f>
        <v>71303.06083056628</v>
      </c>
      <c r="M128" s="34">
        <f>F128+L128</f>
        <v>115642.22152475553</v>
      </c>
      <c r="O128" s="4">
        <f>F128/M128</f>
        <v>0.383416715016129</v>
      </c>
      <c r="P128" s="4">
        <f>L128/M128</f>
        <v>0.6165832849838709</v>
      </c>
    </row>
    <row r="129" spans="1:16" ht="12.75">
      <c r="A129" s="33">
        <v>1356</v>
      </c>
      <c r="B129" s="20"/>
      <c r="C129" s="34">
        <v>9097.846</v>
      </c>
      <c r="D129" s="34"/>
      <c r="E129" s="34">
        <f>C129+D129</f>
        <v>9097.846</v>
      </c>
      <c r="F129" s="34">
        <f>3.86194838323702*E129</f>
        <v>35135.411650639384</v>
      </c>
      <c r="H129" s="36"/>
      <c r="I129" s="34">
        <v>482.003</v>
      </c>
      <c r="J129" s="34"/>
      <c r="K129" s="34">
        <f>I129+J129</f>
        <v>482.003</v>
      </c>
      <c r="L129" s="34">
        <f>43.0920648919096*K129</f>
        <v>20770.504554095103</v>
      </c>
      <c r="M129" s="34">
        <f>F129+L129</f>
        <v>55905.91620473449</v>
      </c>
      <c r="O129" s="4">
        <f>F129/M129</f>
        <v>0.6284739440092367</v>
      </c>
      <c r="P129" s="4">
        <f>L129/M129</f>
        <v>0.37152605599076327</v>
      </c>
    </row>
    <row r="130" spans="1:16" ht="12.75">
      <c r="A130" s="33">
        <v>1357</v>
      </c>
      <c r="B130" s="20"/>
      <c r="C130" s="34">
        <v>5538.972</v>
      </c>
      <c r="D130" s="34"/>
      <c r="E130" s="34">
        <f>C130+D130</f>
        <v>5538.972</v>
      </c>
      <c r="F130" s="34">
        <f>3.86194838323702*E130</f>
        <v>21391.223960195122</v>
      </c>
      <c r="H130" s="36"/>
      <c r="I130" s="34">
        <v>1814.69</v>
      </c>
      <c r="J130" s="34"/>
      <c r="K130" s="34">
        <f>I130+J130</f>
        <v>1814.69</v>
      </c>
      <c r="L130" s="34">
        <f>43.0920648919096*K130</f>
        <v>78198.73923869943</v>
      </c>
      <c r="M130" s="34">
        <f>F130+L130</f>
        <v>99589.96319889455</v>
      </c>
      <c r="O130" s="4">
        <f>F130/M130</f>
        <v>0.21479296982441867</v>
      </c>
      <c r="P130" s="4">
        <f>L130/M130</f>
        <v>0.7852070301755814</v>
      </c>
    </row>
    <row r="131" spans="1:16" ht="12.75">
      <c r="A131" s="33">
        <v>1358</v>
      </c>
      <c r="B131" s="20"/>
      <c r="C131" s="34">
        <v>3188.708</v>
      </c>
      <c r="D131" s="34"/>
      <c r="E131" s="34">
        <f>C131+D131</f>
        <v>3188.708</v>
      </c>
      <c r="F131" s="34">
        <f>3.86194838323702*E131</f>
        <v>12314.625705214952</v>
      </c>
      <c r="H131" s="36"/>
      <c r="I131" s="34">
        <v>2602.969</v>
      </c>
      <c r="J131" s="34"/>
      <c r="K131" s="34">
        <f>I131+J131</f>
        <v>2602.969</v>
      </c>
      <c r="L131" s="34">
        <f>43.0920648919096*K131</f>
        <v>112167.30905962904</v>
      </c>
      <c r="M131" s="34">
        <f>F131+L131</f>
        <v>124481.93476484399</v>
      </c>
      <c r="O131" s="4">
        <f>F131/M131</f>
        <v>0.09892701080263762</v>
      </c>
      <c r="P131" s="4">
        <f>L131/M131</f>
        <v>0.9010729891973625</v>
      </c>
    </row>
    <row r="132" spans="1:16" ht="12.75">
      <c r="A132" s="33">
        <v>1359</v>
      </c>
      <c r="B132" s="20"/>
      <c r="C132" s="34">
        <v>2698.803</v>
      </c>
      <c r="D132" s="34"/>
      <c r="E132" s="34">
        <f>C132+D132</f>
        <v>2698.803</v>
      </c>
      <c r="F132" s="34">
        <f>3.86194838323702*E132</f>
        <v>10422.637882525218</v>
      </c>
      <c r="H132" s="36"/>
      <c r="I132" s="34">
        <v>2273.936</v>
      </c>
      <c r="J132" s="34"/>
      <c r="K132" s="34">
        <f>I132+J132</f>
        <v>2273.936</v>
      </c>
      <c r="L132" s="34">
        <f>43.0920648919096*K132</f>
        <v>97988.59767204936</v>
      </c>
      <c r="M132" s="34">
        <f>F132+L132</f>
        <v>108411.23555457458</v>
      </c>
      <c r="O132" s="4">
        <f>F132/M132</f>
        <v>0.09613983116425628</v>
      </c>
      <c r="P132" s="4">
        <f>L132/M132</f>
        <v>0.9038601688357437</v>
      </c>
    </row>
    <row r="133" spans="1:16" ht="12.75">
      <c r="A133" s="33">
        <v>1360</v>
      </c>
      <c r="B133" s="20"/>
      <c r="C133" s="34">
        <v>1590.753</v>
      </c>
      <c r="D133" s="34"/>
      <c r="E133" s="34">
        <f>C133+D133</f>
        <v>1590.753</v>
      </c>
      <c r="F133" s="34">
        <f>3.86194838323702*E133</f>
        <v>6143.405976479438</v>
      </c>
      <c r="H133" s="36"/>
      <c r="I133" s="34">
        <v>1459.876</v>
      </c>
      <c r="J133" s="34"/>
      <c r="K133" s="34">
        <f>I133+J133</f>
        <v>1459.876</v>
      </c>
      <c r="L133" s="34">
        <f>43.0920648919096*K133</f>
        <v>62909.07132614142</v>
      </c>
      <c r="M133" s="34">
        <f>F133+L133</f>
        <v>69052.47730262086</v>
      </c>
      <c r="O133" s="4">
        <f>F133/M133</f>
        <v>0.08896720605049557</v>
      </c>
      <c r="P133" s="4">
        <f>L133/M133</f>
        <v>0.9110327939495044</v>
      </c>
    </row>
    <row r="134" spans="1:16" ht="12.75">
      <c r="A134" s="33">
        <v>1361</v>
      </c>
      <c r="B134" s="20"/>
      <c r="C134" s="34">
        <v>1558.737</v>
      </c>
      <c r="D134" s="34"/>
      <c r="E134" s="34">
        <f>C134+D134</f>
        <v>1558.737</v>
      </c>
      <c r="F134" s="34">
        <f>3.86194838323702*E134</f>
        <v>6019.761837041723</v>
      </c>
      <c r="H134" s="36"/>
      <c r="I134" s="34">
        <v>4823.84</v>
      </c>
      <c r="J134" s="34"/>
      <c r="K134" s="34">
        <f>I134+J134</f>
        <v>4823.84</v>
      </c>
      <c r="L134" s="34">
        <f>43.0920648919096*K134</f>
        <v>207869.22630818922</v>
      </c>
      <c r="M134" s="34">
        <f>F134+L134</f>
        <v>213888.98814523095</v>
      </c>
      <c r="O134" s="4">
        <f>F134/M134</f>
        <v>0.02814432799576524</v>
      </c>
      <c r="P134" s="4">
        <f>L134/M134</f>
        <v>0.9718556720042347</v>
      </c>
    </row>
    <row r="135" spans="1:16" ht="12.75">
      <c r="A135" s="33">
        <v>1362</v>
      </c>
      <c r="B135" s="20"/>
      <c r="C135" s="34">
        <v>3667.543</v>
      </c>
      <c r="D135" s="34"/>
      <c r="E135" s="34">
        <f>C135+D135</f>
        <v>3667.543</v>
      </c>
      <c r="F135" s="34">
        <f>3.86194838323702*E135</f>
        <v>14163.86175930225</v>
      </c>
      <c r="H135" s="36"/>
      <c r="I135" s="34">
        <v>3043.278</v>
      </c>
      <c r="J135" s="34"/>
      <c r="K135" s="34">
        <f>I135+J135</f>
        <v>3043.278</v>
      </c>
      <c r="L135" s="34">
        <f>43.0920648919096*K135</f>
        <v>131141.13306012086</v>
      </c>
      <c r="M135" s="34">
        <f>F135+L135</f>
        <v>145304.99481942313</v>
      </c>
      <c r="O135" s="4">
        <f>F135/M135</f>
        <v>0.09747677137254848</v>
      </c>
      <c r="P135" s="4">
        <f>L135/M135</f>
        <v>0.9025232286274514</v>
      </c>
    </row>
    <row r="136" spans="1:16" ht="12.75">
      <c r="A136" s="33">
        <v>1363</v>
      </c>
      <c r="B136" s="20"/>
      <c r="C136" s="34">
        <v>815.107</v>
      </c>
      <c r="D136" s="34">
        <v>465.121</v>
      </c>
      <c r="E136" s="34">
        <f>C136+D136</f>
        <v>1280.228</v>
      </c>
      <c r="F136" s="34">
        <f>3.86194838323702*E136</f>
        <v>4944.174454774764</v>
      </c>
      <c r="H136" s="36"/>
      <c r="I136" s="34">
        <v>875.94</v>
      </c>
      <c r="J136" s="34">
        <v>654.793</v>
      </c>
      <c r="K136" s="34">
        <f>I136+J136</f>
        <v>1530.7330000000002</v>
      </c>
      <c r="L136" s="34">
        <f>43.0920648919096*K136</f>
        <v>65962.44576818746</v>
      </c>
      <c r="M136" s="34">
        <f>F136+L136</f>
        <v>70906.62022296223</v>
      </c>
      <c r="O136" s="4">
        <f>F136/M136</f>
        <v>0.06972796671492819</v>
      </c>
      <c r="P136" s="4">
        <f>L136/M136</f>
        <v>0.9302720332850718</v>
      </c>
    </row>
    <row r="137" spans="1:16" ht="12.75">
      <c r="A137" s="33">
        <v>1364</v>
      </c>
      <c r="B137" s="20"/>
      <c r="C137" s="34">
        <v>735.283</v>
      </c>
      <c r="D137" s="34">
        <v>461.244</v>
      </c>
      <c r="E137" s="34">
        <f>C137+D137</f>
        <v>1196.527</v>
      </c>
      <c r="F137" s="34">
        <f>3.86194838323702*E137</f>
        <v>4620.925513149442</v>
      </c>
      <c r="H137" s="36"/>
      <c r="I137" s="34">
        <v>475.437</v>
      </c>
      <c r="J137" s="34">
        <v>684.549</v>
      </c>
      <c r="K137" s="34">
        <f>I137+J137</f>
        <v>1159.9859999999999</v>
      </c>
      <c r="L137" s="34">
        <f>43.0920648919096*K137</f>
        <v>49986.191985706646</v>
      </c>
      <c r="M137" s="34">
        <f>F137+L137</f>
        <v>54607.11749885609</v>
      </c>
      <c r="O137" s="4">
        <f>F137/M137</f>
        <v>0.08462130441597181</v>
      </c>
      <c r="P137" s="4">
        <f>L137/M137</f>
        <v>0.9153786955840282</v>
      </c>
    </row>
    <row r="138" spans="1:16" ht="12.75">
      <c r="A138" s="33">
        <v>1365</v>
      </c>
      <c r="B138" s="20"/>
      <c r="C138" s="34">
        <v>384.508</v>
      </c>
      <c r="D138" s="34">
        <v>66.511</v>
      </c>
      <c r="E138" s="34">
        <f>C138+D138</f>
        <v>451.019</v>
      </c>
      <c r="F138" s="34">
        <f>3.86194838323702*E138</f>
        <v>1741.8120978591774</v>
      </c>
      <c r="H138" s="36"/>
      <c r="I138" s="34">
        <v>363.333</v>
      </c>
      <c r="J138" s="34">
        <v>1155.039</v>
      </c>
      <c r="K138" s="34">
        <f>I138+J138</f>
        <v>1518.372</v>
      </c>
      <c r="L138" s="34">
        <f>43.0920648919096*K138</f>
        <v>65429.784754058564</v>
      </c>
      <c r="M138" s="34">
        <f>F138+L138</f>
        <v>67171.59685191774</v>
      </c>
      <c r="O138" s="4">
        <f>F138/M138</f>
        <v>0.025930782942365747</v>
      </c>
      <c r="P138" s="4">
        <f>L138/M138</f>
        <v>0.9740692170576343</v>
      </c>
    </row>
    <row r="139" spans="1:16" ht="12.75">
      <c r="A139" s="33">
        <v>1366</v>
      </c>
      <c r="B139" s="20"/>
      <c r="C139" s="34">
        <v>0</v>
      </c>
      <c r="D139" s="34">
        <v>0</v>
      </c>
      <c r="E139" s="34">
        <f>C139+D139</f>
        <v>0</v>
      </c>
      <c r="F139" s="34">
        <f>3.86194838323702*E139</f>
        <v>0</v>
      </c>
      <c r="H139" s="36"/>
      <c r="I139" s="34">
        <v>383.347</v>
      </c>
      <c r="J139" s="34">
        <v>1827.667</v>
      </c>
      <c r="K139" s="34">
        <f>I139+J139</f>
        <v>2211.014</v>
      </c>
      <c r="L139" s="34">
        <f>43.0920648919096*K139</f>
        <v>95277.15876492062</v>
      </c>
      <c r="M139" s="34">
        <f>F139+L139</f>
        <v>95277.15876492062</v>
      </c>
      <c r="O139" s="4">
        <f>F139/M139</f>
        <v>0</v>
      </c>
      <c r="P139" s="4">
        <f>L139/M139</f>
        <v>1</v>
      </c>
    </row>
    <row r="140" spans="1:16" ht="12.75">
      <c r="A140" s="33">
        <v>1367</v>
      </c>
      <c r="B140" s="20"/>
      <c r="C140" s="34">
        <v>0</v>
      </c>
      <c r="D140" s="34">
        <v>0</v>
      </c>
      <c r="E140" s="34">
        <f>C140+D140</f>
        <v>0</v>
      </c>
      <c r="F140" s="34">
        <f>3.86194838323702*E140</f>
        <v>0</v>
      </c>
      <c r="H140" s="36"/>
      <c r="I140" s="34">
        <v>257.953</v>
      </c>
      <c r="J140" s="34">
        <v>1367.881</v>
      </c>
      <c r="K140" s="34">
        <f>I140+J140</f>
        <v>1625.834</v>
      </c>
      <c r="L140" s="34">
        <f>43.0920648919096*K140</f>
        <v>70060.54423147296</v>
      </c>
      <c r="M140" s="34">
        <f>F140+L140</f>
        <v>70060.54423147296</v>
      </c>
      <c r="O140" s="4">
        <f>F140/M140</f>
        <v>0</v>
      </c>
      <c r="P140" s="4">
        <f>L140/M140</f>
        <v>1</v>
      </c>
    </row>
    <row r="141" spans="1:16" ht="12.75">
      <c r="A141" s="33">
        <v>1368</v>
      </c>
      <c r="B141" s="20"/>
      <c r="C141" s="34">
        <v>568.039</v>
      </c>
      <c r="D141" s="34"/>
      <c r="E141" s="34">
        <f>C141+D141</f>
        <v>568.039</v>
      </c>
      <c r="F141" s="34">
        <f>3.86194838323702*E141</f>
        <v>2193.7372976655734</v>
      </c>
      <c r="H141" s="36"/>
      <c r="I141" s="34">
        <v>584.865</v>
      </c>
      <c r="J141" s="34">
        <v>906.299</v>
      </c>
      <c r="K141" s="34">
        <f>I141+J141</f>
        <v>1491.164</v>
      </c>
      <c r="L141" s="34">
        <f>43.0920648919096*K141</f>
        <v>64257.33585247949</v>
      </c>
      <c r="M141" s="34">
        <f>F141+L141</f>
        <v>66451.07315014506</v>
      </c>
      <c r="O141" s="4">
        <f>F141/M141</f>
        <v>0.03301281971336808</v>
      </c>
      <c r="P141" s="4">
        <f>L141/M141</f>
        <v>0.9669871802866319</v>
      </c>
    </row>
    <row r="142" spans="1:16" ht="12.75">
      <c r="A142" s="33">
        <v>1369</v>
      </c>
      <c r="B142" s="20"/>
      <c r="C142" s="34">
        <v>397.354</v>
      </c>
      <c r="D142" s="34"/>
      <c r="E142" s="34">
        <f>C142+D142</f>
        <v>397.354</v>
      </c>
      <c r="F142" s="34">
        <f>3.86194838323702*E142</f>
        <v>1534.5606378727628</v>
      </c>
      <c r="H142" s="36"/>
      <c r="I142" s="34">
        <v>1687.442</v>
      </c>
      <c r="J142" s="34">
        <v>557.192</v>
      </c>
      <c r="K142" s="34">
        <f>I142+J142</f>
        <v>2244.634</v>
      </c>
      <c r="L142" s="34">
        <f>43.0920648919096*K142</f>
        <v>96725.91398658662</v>
      </c>
      <c r="M142" s="34">
        <f>F142+L142</f>
        <v>98260.47462445938</v>
      </c>
      <c r="O142" s="4">
        <f>F142/M142</f>
        <v>0.015617272802087339</v>
      </c>
      <c r="P142" s="4">
        <f>L142/M142</f>
        <v>0.9843827271979126</v>
      </c>
    </row>
    <row r="143" spans="1:16" ht="12.75">
      <c r="A143" s="33">
        <v>1370</v>
      </c>
      <c r="B143" s="20"/>
      <c r="C143" s="34">
        <v>503.719</v>
      </c>
      <c r="D143" s="34"/>
      <c r="E143" s="34">
        <f>C143+D143</f>
        <v>503.719</v>
      </c>
      <c r="F143" s="34">
        <f>3.86194838323702*E143</f>
        <v>1945.3367776557684</v>
      </c>
      <c r="H143" s="36"/>
      <c r="I143" s="34">
        <v>515.298</v>
      </c>
      <c r="J143" s="34">
        <v>557.192</v>
      </c>
      <c r="K143" s="34">
        <f>I143+J143</f>
        <v>1072.49</v>
      </c>
      <c r="L143" s="34">
        <f>43.0920648919096*K143</f>
        <v>46215.80867592413</v>
      </c>
      <c r="M143" s="34">
        <f>F143+L143</f>
        <v>48161.1454535799</v>
      </c>
      <c r="O143" s="4">
        <f>F143/M143</f>
        <v>0.04039224481342082</v>
      </c>
      <c r="P143" s="4">
        <f>L143/M143</f>
        <v>0.9596077551865791</v>
      </c>
    </row>
    <row r="144" spans="1:16" ht="12.75">
      <c r="A144" s="33">
        <v>1371</v>
      </c>
      <c r="B144" s="20"/>
      <c r="C144" s="34">
        <v>207.363</v>
      </c>
      <c r="D144" s="34"/>
      <c r="E144" s="34">
        <f>C144+D144</f>
        <v>207.363</v>
      </c>
      <c r="F144" s="34">
        <f>3.86194838323702*E144</f>
        <v>800.8252025931781</v>
      </c>
      <c r="H144" s="36"/>
      <c r="I144" s="34">
        <v>358.448</v>
      </c>
      <c r="J144" s="34">
        <v>382.903</v>
      </c>
      <c r="K144" s="34">
        <f>I144+J144</f>
        <v>741.351</v>
      </c>
      <c r="L144" s="34">
        <f>43.0920648919096*K144</f>
        <v>31946.345399682075</v>
      </c>
      <c r="M144" s="34">
        <f>F144+L144</f>
        <v>32747.170602275255</v>
      </c>
      <c r="O144" s="4">
        <f>F144/M144</f>
        <v>0.024454790684650392</v>
      </c>
      <c r="P144" s="4">
        <f>L144/M144</f>
        <v>0.9755452093153496</v>
      </c>
    </row>
    <row r="145" spans="1:16" ht="12.75">
      <c r="A145" s="33">
        <v>1372</v>
      </c>
      <c r="B145" s="20"/>
      <c r="C145" s="34">
        <v>45.019</v>
      </c>
      <c r="D145" s="34"/>
      <c r="E145" s="34">
        <f>C145+D145</f>
        <v>45.019</v>
      </c>
      <c r="F145" s="34">
        <f>3.86194838323702*E145</f>
        <v>173.8610542649474</v>
      </c>
      <c r="H145" s="36"/>
      <c r="I145" s="34">
        <v>506.5</v>
      </c>
      <c r="J145" s="34">
        <v>774.177</v>
      </c>
      <c r="K145" s="34">
        <f>I145+J145</f>
        <v>1280.6770000000001</v>
      </c>
      <c r="L145" s="34">
        <f>43.0920648919096*K145</f>
        <v>55187.016389576114</v>
      </c>
      <c r="M145" s="34">
        <f>F145+L145</f>
        <v>55360.87744384106</v>
      </c>
      <c r="O145" s="4">
        <f>F145/M145</f>
        <v>0.003140503949586326</v>
      </c>
      <c r="P145" s="4">
        <f>L145/M145</f>
        <v>0.9968594960504137</v>
      </c>
    </row>
    <row r="146" spans="1:16" ht="12.75">
      <c r="A146" s="33">
        <v>1373</v>
      </c>
      <c r="B146" s="20"/>
      <c r="C146" s="34">
        <v>117.399</v>
      </c>
      <c r="D146" s="34"/>
      <c r="E146" s="34">
        <f>C146+D146</f>
        <v>117.399</v>
      </c>
      <c r="F146" s="34">
        <f>3.86194838323702*E146</f>
        <v>453.3888782436429</v>
      </c>
      <c r="H146" s="36"/>
      <c r="I146" s="34">
        <v>338.733</v>
      </c>
      <c r="J146" s="34">
        <v>791.766</v>
      </c>
      <c r="K146" s="34">
        <f>I146+J146</f>
        <v>1130.499</v>
      </c>
      <c r="L146" s="34">
        <f>43.0920648919096*K146</f>
        <v>48715.53626823891</v>
      </c>
      <c r="M146" s="34">
        <f>F146+L146</f>
        <v>49168.92514648255</v>
      </c>
      <c r="O146" s="4">
        <f>F146/M146</f>
        <v>0.009221045139647058</v>
      </c>
      <c r="P146" s="4">
        <f>L146/M146</f>
        <v>0.990778954860353</v>
      </c>
    </row>
    <row r="147" spans="1:16" ht="12.75">
      <c r="A147" s="33">
        <v>1374</v>
      </c>
      <c r="B147" s="20"/>
      <c r="C147" s="34">
        <v>120.616</v>
      </c>
      <c r="D147" s="34"/>
      <c r="E147" s="34">
        <f>C147+D147</f>
        <v>120.616</v>
      </c>
      <c r="F147" s="34">
        <f>3.86194838323702*E147</f>
        <v>465.8127661925164</v>
      </c>
      <c r="H147" s="36"/>
      <c r="I147" s="34">
        <v>223.753</v>
      </c>
      <c r="J147" s="34">
        <v>320.1</v>
      </c>
      <c r="K147" s="34">
        <f>I147+J147</f>
        <v>543.8530000000001</v>
      </c>
      <c r="L147" s="34">
        <f>43.0920648919096*K147</f>
        <v>23435.748767659716</v>
      </c>
      <c r="M147" s="34">
        <f>F147+L147</f>
        <v>23901.561533852233</v>
      </c>
      <c r="O147" s="4">
        <f>F147/M147</f>
        <v>0.019488800576178966</v>
      </c>
      <c r="P147" s="4">
        <f>L147/M147</f>
        <v>0.980511199423821</v>
      </c>
    </row>
    <row r="148" spans="1:16" ht="12.75">
      <c r="A148" s="33">
        <v>1375</v>
      </c>
      <c r="B148" s="20"/>
      <c r="C148" s="34">
        <v>1094.435</v>
      </c>
      <c r="D148" s="34"/>
      <c r="E148" s="34">
        <f>C148+D148</f>
        <v>1094.435</v>
      </c>
      <c r="F148" s="34">
        <f>3.86194838323702*E148</f>
        <v>4226.651478808008</v>
      </c>
      <c r="H148" s="36"/>
      <c r="I148" s="34">
        <v>244.292</v>
      </c>
      <c r="J148" s="34">
        <v>72.366</v>
      </c>
      <c r="K148" s="34">
        <f>I148+J148</f>
        <v>316.658</v>
      </c>
      <c r="L148" s="34">
        <f>43.0920648919096*K148</f>
        <v>13645.447084542311</v>
      </c>
      <c r="M148" s="34">
        <f>F148+L148</f>
        <v>17872.09856335032</v>
      </c>
      <c r="O148" s="4">
        <f>F148/M148</f>
        <v>0.23649441411852173</v>
      </c>
      <c r="P148" s="4">
        <f>L148/M148</f>
        <v>0.7635055858814783</v>
      </c>
    </row>
    <row r="149" spans="1:16" ht="12.75">
      <c r="A149" s="33">
        <v>1376</v>
      </c>
      <c r="B149" s="20"/>
      <c r="C149" s="34">
        <v>748.838</v>
      </c>
      <c r="D149" s="34"/>
      <c r="E149" s="34">
        <f>C149+D149</f>
        <v>748.838</v>
      </c>
      <c r="F149" s="34">
        <f>3.86194838323702*E149</f>
        <v>2891.9737034064433</v>
      </c>
      <c r="H149" s="36"/>
      <c r="I149" s="34">
        <v>143.574</v>
      </c>
      <c r="J149" s="34">
        <v>123.71</v>
      </c>
      <c r="K149" s="34">
        <f>I149+J149</f>
        <v>267.284</v>
      </c>
      <c r="L149" s="34">
        <f>43.0920648919096*K149</f>
        <v>11517.819472569165</v>
      </c>
      <c r="M149" s="34">
        <f>F149+L149</f>
        <v>14409.793175975608</v>
      </c>
      <c r="O149" s="4">
        <f>F149/M149</f>
        <v>0.20069501817888816</v>
      </c>
      <c r="P149" s="4">
        <f>L149/M149</f>
        <v>0.7993049818211118</v>
      </c>
    </row>
    <row r="150" spans="1:16" ht="12.75">
      <c r="A150" s="33">
        <v>1377</v>
      </c>
      <c r="B150" s="20"/>
      <c r="C150" s="34">
        <v>57.193</v>
      </c>
      <c r="D150" s="34"/>
      <c r="E150" s="34">
        <f>C150+D150</f>
        <v>57.193</v>
      </c>
      <c r="F150" s="34">
        <f>3.86194838323702*E150</f>
        <v>220.87641388247488</v>
      </c>
      <c r="H150" s="36"/>
      <c r="I150" s="34">
        <v>83.096</v>
      </c>
      <c r="J150" s="34">
        <v>124.941</v>
      </c>
      <c r="K150" s="34">
        <f>I150+J150</f>
        <v>208.037</v>
      </c>
      <c r="L150" s="34">
        <f>43.0920648919096*K150</f>
        <v>8964.743903918197</v>
      </c>
      <c r="M150" s="34">
        <f>F150+L150</f>
        <v>9185.620317800673</v>
      </c>
      <c r="O150" s="4">
        <f>F150/M150</f>
        <v>0.024045889797387105</v>
      </c>
      <c r="P150" s="4">
        <f>L150/M150</f>
        <v>0.9759541102026128</v>
      </c>
    </row>
    <row r="151" spans="1:16" ht="12.75">
      <c r="A151" s="33">
        <v>1378</v>
      </c>
      <c r="B151" s="20"/>
      <c r="C151" s="34">
        <v>326.153</v>
      </c>
      <c r="D151" s="34"/>
      <c r="E151" s="34">
        <f>C151+D151</f>
        <v>326.153</v>
      </c>
      <c r="F151" s="34">
        <f>3.86194838323702*E151</f>
        <v>1259.5860510379039</v>
      </c>
      <c r="H151" s="36"/>
      <c r="I151" s="34">
        <v>108.835</v>
      </c>
      <c r="J151" s="34">
        <v>124.941</v>
      </c>
      <c r="K151" s="34">
        <f>I151+J151</f>
        <v>233.776</v>
      </c>
      <c r="L151" s="34">
        <f>43.0920648919096*K151</f>
        <v>10073.89056217106</v>
      </c>
      <c r="M151" s="34">
        <f>F151+L151</f>
        <v>11333.476613208964</v>
      </c>
      <c r="O151" s="4">
        <f>F151/M151</f>
        <v>0.11113854062837866</v>
      </c>
      <c r="P151" s="4">
        <f>L151/M151</f>
        <v>0.8888614593716213</v>
      </c>
    </row>
    <row r="152" spans="1:16" ht="12.75">
      <c r="A152" s="33">
        <v>1379</v>
      </c>
      <c r="B152" s="20"/>
      <c r="C152" s="34">
        <v>326.153</v>
      </c>
      <c r="D152" s="34"/>
      <c r="E152" s="34">
        <f>C152+D152</f>
        <v>326.153</v>
      </c>
      <c r="F152" s="34">
        <f>3.86194838323702*E152</f>
        <v>1259.5860510379039</v>
      </c>
      <c r="H152" s="36"/>
      <c r="I152" s="34">
        <v>108.835</v>
      </c>
      <c r="J152" s="34">
        <v>124.941</v>
      </c>
      <c r="K152" s="34">
        <f>I152+J152</f>
        <v>233.776</v>
      </c>
      <c r="L152" s="34">
        <f>43.0920648919096*K152</f>
        <v>10073.89056217106</v>
      </c>
      <c r="M152" s="34">
        <f>F152+L152</f>
        <v>11333.476613208964</v>
      </c>
      <c r="O152" s="4">
        <f>F152/M152</f>
        <v>0.11113854062837866</v>
      </c>
      <c r="P152" s="4">
        <f>L152/M152</f>
        <v>0.8888614593716213</v>
      </c>
    </row>
    <row r="153" spans="1:16" ht="12.75">
      <c r="A153" s="33">
        <v>1380</v>
      </c>
      <c r="B153" s="20"/>
      <c r="C153" s="34">
        <v>326.153</v>
      </c>
      <c r="D153" s="34"/>
      <c r="E153" s="34">
        <f>C153+D153</f>
        <v>326.153</v>
      </c>
      <c r="F153" s="34">
        <f>3.86194838323702*E153</f>
        <v>1259.5860510379039</v>
      </c>
      <c r="H153" s="36"/>
      <c r="I153" s="34">
        <v>108.835</v>
      </c>
      <c r="J153" s="34">
        <v>124.941</v>
      </c>
      <c r="K153" s="34">
        <f>I153+J153</f>
        <v>233.776</v>
      </c>
      <c r="L153" s="34">
        <f>43.0920648919096*K153</f>
        <v>10073.89056217106</v>
      </c>
      <c r="M153" s="34">
        <f>F153+L153</f>
        <v>11333.476613208964</v>
      </c>
      <c r="O153" s="4">
        <f>F153/M153</f>
        <v>0.11113854062837866</v>
      </c>
      <c r="P153" s="4">
        <f>L153/M153</f>
        <v>0.8888614593716213</v>
      </c>
    </row>
    <row r="154" spans="1:16" ht="12.75">
      <c r="A154" s="33">
        <v>1381</v>
      </c>
      <c r="B154" s="20"/>
      <c r="C154" s="34">
        <v>326.153</v>
      </c>
      <c r="D154" s="34"/>
      <c r="E154" s="34">
        <f>C154+D154</f>
        <v>326.153</v>
      </c>
      <c r="F154" s="34">
        <f>3.86194838323702*E154</f>
        <v>1259.5860510379039</v>
      </c>
      <c r="H154" s="36"/>
      <c r="I154" s="34">
        <v>108.835</v>
      </c>
      <c r="J154" s="34">
        <v>78.384</v>
      </c>
      <c r="K154" s="34">
        <f>I154+J154</f>
        <v>187.219</v>
      </c>
      <c r="L154" s="34">
        <f>43.0920648919096*K154</f>
        <v>8067.653296998424</v>
      </c>
      <c r="M154" s="34">
        <f>F154+L154</f>
        <v>9327.239348036328</v>
      </c>
      <c r="O154" s="4">
        <f>F154/M154</f>
        <v>0.13504382208258497</v>
      </c>
      <c r="P154" s="4">
        <f>L154/M154</f>
        <v>0.864956177917415</v>
      </c>
    </row>
    <row r="155" spans="1:16" ht="12.75">
      <c r="A155" s="33">
        <v>1382</v>
      </c>
      <c r="B155" s="20"/>
      <c r="C155" s="34">
        <v>326.153</v>
      </c>
      <c r="D155" s="34"/>
      <c r="E155" s="34">
        <f>C155+D155</f>
        <v>326.153</v>
      </c>
      <c r="F155" s="34">
        <f>3.86194838323702*E155</f>
        <v>1259.5860510379039</v>
      </c>
      <c r="H155" s="36"/>
      <c r="I155" s="34">
        <v>108.835</v>
      </c>
      <c r="J155" s="34">
        <v>0.788</v>
      </c>
      <c r="K155" s="34">
        <f>I155+J155</f>
        <v>109.62299999999999</v>
      </c>
      <c r="L155" s="34">
        <f>43.0920648919096*K155</f>
        <v>4723.881429645806</v>
      </c>
      <c r="M155" s="34">
        <f>F155+L155</f>
        <v>5983.46748068371</v>
      </c>
      <c r="O155" s="4">
        <f>F155/M155</f>
        <v>0.21051105485309252</v>
      </c>
      <c r="P155" s="4">
        <f>L155/M155</f>
        <v>0.7894889451469074</v>
      </c>
    </row>
    <row r="156" spans="1:16" ht="12.75">
      <c r="A156" s="33">
        <v>1383</v>
      </c>
      <c r="B156" s="20"/>
      <c r="C156" s="34">
        <v>326.153</v>
      </c>
      <c r="D156" s="34"/>
      <c r="E156" s="34">
        <f>C156+D156</f>
        <v>326.153</v>
      </c>
      <c r="F156" s="34">
        <f>3.86194838323702*E156</f>
        <v>1259.5860510379039</v>
      </c>
      <c r="H156" s="36"/>
      <c r="I156" s="34">
        <v>108.835</v>
      </c>
      <c r="J156" s="34">
        <v>0.788</v>
      </c>
      <c r="K156" s="34">
        <f>I156+J156</f>
        <v>109.62299999999999</v>
      </c>
      <c r="L156" s="34">
        <f>43.0920648919096*K156</f>
        <v>4723.881429645806</v>
      </c>
      <c r="M156" s="34">
        <f>F156+L156</f>
        <v>5983.46748068371</v>
      </c>
      <c r="O156" s="4">
        <f>F156/M156</f>
        <v>0.21051105485309252</v>
      </c>
      <c r="P156" s="4">
        <f>L156/M156</f>
        <v>0.7894889451469074</v>
      </c>
    </row>
    <row r="157" spans="1:16" ht="12.75">
      <c r="A157" s="33">
        <v>1384</v>
      </c>
      <c r="B157" s="20"/>
      <c r="C157" s="34">
        <v>326.153</v>
      </c>
      <c r="D157" s="34"/>
      <c r="E157" s="34">
        <f>C157+D157</f>
        <v>326.153</v>
      </c>
      <c r="F157" s="34">
        <f>3.86194838323702*E157</f>
        <v>1259.5860510379039</v>
      </c>
      <c r="H157" s="36"/>
      <c r="I157" s="34">
        <v>136.682</v>
      </c>
      <c r="J157" s="34">
        <v>0.213</v>
      </c>
      <c r="K157" s="34">
        <f>I157+J157</f>
        <v>136.89499999999998</v>
      </c>
      <c r="L157" s="34">
        <f>43.0920648919096*K157</f>
        <v>5899.088223377964</v>
      </c>
      <c r="M157" s="34">
        <f>F157+L157</f>
        <v>7158.674274415867</v>
      </c>
      <c r="O157" s="4">
        <f>F157/M157</f>
        <v>0.17595241838834516</v>
      </c>
      <c r="P157" s="4">
        <f>L157/M157</f>
        <v>0.8240475816116549</v>
      </c>
    </row>
    <row r="158" spans="1:16" ht="12.75">
      <c r="A158" s="33">
        <v>1385</v>
      </c>
      <c r="B158" s="20"/>
      <c r="C158" s="34">
        <v>282.448</v>
      </c>
      <c r="D158" s="34"/>
      <c r="E158" s="34">
        <f>C158+D158</f>
        <v>282.448</v>
      </c>
      <c r="F158" s="34">
        <f>3.86194838323702*E158</f>
        <v>1090.7995969485296</v>
      </c>
      <c r="H158" s="36"/>
      <c r="I158" s="34">
        <v>265.815</v>
      </c>
      <c r="J158" s="34"/>
      <c r="K158" s="34">
        <f>I158+J158</f>
        <v>265.815</v>
      </c>
      <c r="L158" s="34">
        <f>43.0920648919096*K158</f>
        <v>11454.51722924295</v>
      </c>
      <c r="M158" s="34">
        <f>F158+L158</f>
        <v>12545.31682619148</v>
      </c>
      <c r="O158" s="4">
        <f>F158/M158</f>
        <v>0.08694874845019564</v>
      </c>
      <c r="P158" s="4">
        <f>L158/M158</f>
        <v>0.9130512515498044</v>
      </c>
    </row>
    <row r="159" spans="1:16" ht="12.75">
      <c r="A159" s="33">
        <v>1386</v>
      </c>
      <c r="B159" s="20"/>
      <c r="C159" s="34">
        <v>282.448</v>
      </c>
      <c r="D159" s="34"/>
      <c r="E159" s="34">
        <f>C159+D159</f>
        <v>282.448</v>
      </c>
      <c r="F159" s="34">
        <f>3.86194838323702*E159</f>
        <v>1090.7995969485296</v>
      </c>
      <c r="H159" s="36"/>
      <c r="I159" s="34">
        <v>265.815</v>
      </c>
      <c r="J159" s="34"/>
      <c r="K159" s="34">
        <f>I159+J159</f>
        <v>265.815</v>
      </c>
      <c r="L159" s="34">
        <f>43.0920648919096*K159</f>
        <v>11454.51722924295</v>
      </c>
      <c r="M159" s="34">
        <f>F159+L159</f>
        <v>12545.31682619148</v>
      </c>
      <c r="O159" s="4">
        <f>F159/M159</f>
        <v>0.08694874845019564</v>
      </c>
      <c r="P159" s="4">
        <f>L159/M159</f>
        <v>0.9130512515498044</v>
      </c>
    </row>
    <row r="160" spans="1:16" ht="12.75">
      <c r="A160" s="33">
        <v>1387</v>
      </c>
      <c r="B160" s="20"/>
      <c r="C160" s="34">
        <v>282.448</v>
      </c>
      <c r="D160" s="34"/>
      <c r="E160" s="34">
        <f>C160+D160</f>
        <v>282.448</v>
      </c>
      <c r="F160" s="34">
        <f>3.86194838323702*E160</f>
        <v>1090.7995969485296</v>
      </c>
      <c r="H160" s="36"/>
      <c r="I160" s="34">
        <v>265.815</v>
      </c>
      <c r="J160" s="34">
        <v>177.229</v>
      </c>
      <c r="K160" s="34">
        <f>I160+J160</f>
        <v>443.044</v>
      </c>
      <c r="L160" s="34">
        <f>43.0920648919096*K160</f>
        <v>19091.680797971196</v>
      </c>
      <c r="M160" s="34">
        <f>F160+L160</f>
        <v>20182.480394919727</v>
      </c>
      <c r="O160" s="4">
        <f>F160/M160</f>
        <v>0.05404685527270981</v>
      </c>
      <c r="P160" s="4">
        <f>L160/M160</f>
        <v>0.9459531447272901</v>
      </c>
    </row>
    <row r="161" spans="1:16" ht="12.75">
      <c r="A161" s="33">
        <v>1388</v>
      </c>
      <c r="B161" s="20"/>
      <c r="C161" s="34">
        <v>37.785</v>
      </c>
      <c r="D161" s="34"/>
      <c r="E161" s="34">
        <f>C161+D161</f>
        <v>37.785</v>
      </c>
      <c r="F161" s="34">
        <f>3.86194838323702*E161</f>
        <v>145.92371966061077</v>
      </c>
      <c r="H161" s="36"/>
      <c r="I161" s="34">
        <v>261.492</v>
      </c>
      <c r="J161" s="34">
        <v>251.686</v>
      </c>
      <c r="K161" s="34">
        <f>I161+J161</f>
        <v>513.178</v>
      </c>
      <c r="L161" s="34">
        <f>43.0920648919096*K161</f>
        <v>22113.899677100384</v>
      </c>
      <c r="M161" s="34">
        <f>F161+L161</f>
        <v>22259.823396760996</v>
      </c>
      <c r="O161" s="4">
        <f>F161/M161</f>
        <v>0.0065554751742479675</v>
      </c>
      <c r="P161" s="4">
        <f>L161/M161</f>
        <v>0.993444524825752</v>
      </c>
    </row>
    <row r="162" spans="1:16" ht="12.75">
      <c r="A162" s="33">
        <v>1389</v>
      </c>
      <c r="B162" s="20"/>
      <c r="C162" s="34">
        <v>53.982</v>
      </c>
      <c r="D162" s="34"/>
      <c r="E162" s="34">
        <f>C162+D162</f>
        <v>53.982</v>
      </c>
      <c r="F162" s="34">
        <f>3.86194838323702*E162</f>
        <v>208.4756976239008</v>
      </c>
      <c r="H162" s="36"/>
      <c r="I162" s="34">
        <v>373.56</v>
      </c>
      <c r="J162" s="34">
        <v>251.686</v>
      </c>
      <c r="K162" s="34">
        <f>I162+J162</f>
        <v>625.246</v>
      </c>
      <c r="L162" s="34">
        <f>43.0920648919096*K162</f>
        <v>26943.141205406908</v>
      </c>
      <c r="M162" s="34">
        <f>F162+L162</f>
        <v>27151.61690303081</v>
      </c>
      <c r="O162" s="4">
        <f>F162/M162</f>
        <v>0.007678205624676062</v>
      </c>
      <c r="P162" s="4">
        <f>L162/M162</f>
        <v>0.992321794375324</v>
      </c>
    </row>
    <row r="163" spans="1:16" ht="12.75">
      <c r="A163" s="33">
        <v>1390</v>
      </c>
      <c r="B163" s="20"/>
      <c r="C163" s="34">
        <v>580.908</v>
      </c>
      <c r="D163" s="34"/>
      <c r="E163" s="34">
        <f>C163+D163</f>
        <v>580.908</v>
      </c>
      <c r="F163" s="34">
        <f>3.86194838323702*E163</f>
        <v>2243.4367114094507</v>
      </c>
      <c r="H163" s="36"/>
      <c r="I163" s="34">
        <v>566.264</v>
      </c>
      <c r="J163" s="34">
        <v>110.506</v>
      </c>
      <c r="K163" s="34">
        <f>I163+J163</f>
        <v>676.77</v>
      </c>
      <c r="L163" s="34">
        <f>43.0920648919096*K163</f>
        <v>29163.41675689766</v>
      </c>
      <c r="M163" s="34">
        <f>F163+L163</f>
        <v>31406.85346830711</v>
      </c>
      <c r="O163" s="4">
        <f>F163/M163</f>
        <v>0.07143143816279843</v>
      </c>
      <c r="P163" s="4">
        <f>L163/M163</f>
        <v>0.9285685618372016</v>
      </c>
    </row>
    <row r="164" spans="1:16" ht="12.75">
      <c r="A164" s="33">
        <v>1391</v>
      </c>
      <c r="B164" s="20"/>
      <c r="C164" s="34">
        <v>708.354</v>
      </c>
      <c r="D164" s="34"/>
      <c r="E164" s="34">
        <f>C164+D164</f>
        <v>708.354</v>
      </c>
      <c r="F164" s="34">
        <f>3.86194838323702*E164</f>
        <v>2735.626585059476</v>
      </c>
      <c r="H164" s="36"/>
      <c r="I164" s="34">
        <v>534.443</v>
      </c>
      <c r="J164" s="34">
        <v>51.194</v>
      </c>
      <c r="K164" s="34">
        <f>I164+J164</f>
        <v>585.637</v>
      </c>
      <c r="L164" s="34">
        <f>43.0920648919096*K164</f>
        <v>25236.30760710326</v>
      </c>
      <c r="M164" s="34">
        <f>F164+L164</f>
        <v>27971.934192162735</v>
      </c>
      <c r="O164" s="4">
        <f>F164/M164</f>
        <v>0.0977989782996827</v>
      </c>
      <c r="P164" s="4">
        <f>L164/M164</f>
        <v>0.9022010217003174</v>
      </c>
    </row>
    <row r="165" spans="1:16" ht="12.75">
      <c r="A165" s="33">
        <v>1392</v>
      </c>
      <c r="B165" s="20"/>
      <c r="C165" s="34">
        <v>89.132</v>
      </c>
      <c r="D165" s="34"/>
      <c r="E165" s="34">
        <f>C165+D165</f>
        <v>89.132</v>
      </c>
      <c r="F165" s="34">
        <f>3.86194838323702*E165</f>
        <v>344.2231832946821</v>
      </c>
      <c r="H165" s="36"/>
      <c r="I165" s="34">
        <v>495.022</v>
      </c>
      <c r="J165" s="34">
        <v>51.194</v>
      </c>
      <c r="K165" s="34">
        <f>I165+J165</f>
        <v>546.216</v>
      </c>
      <c r="L165" s="34">
        <f>43.0920648919096*K165</f>
        <v>23537.575316999297</v>
      </c>
      <c r="M165" s="34">
        <f>F165+L165</f>
        <v>23881.79850029398</v>
      </c>
      <c r="O165" s="4">
        <f>F165/M165</f>
        <v>0.014413620619504214</v>
      </c>
      <c r="P165" s="4">
        <f>L165/M165</f>
        <v>0.9855863793804958</v>
      </c>
    </row>
    <row r="166" spans="1:16" ht="12.75">
      <c r="A166" s="33">
        <v>1393</v>
      </c>
      <c r="B166" s="20"/>
      <c r="C166" s="34">
        <v>74.651</v>
      </c>
      <c r="D166" s="34"/>
      <c r="E166" s="34">
        <f>C166+D166</f>
        <v>74.651</v>
      </c>
      <c r="F166" s="34">
        <f>3.86194838323702*E166</f>
        <v>288.29830875702675</v>
      </c>
      <c r="H166" s="36"/>
      <c r="I166" s="34">
        <v>397.405</v>
      </c>
      <c r="J166" s="34">
        <v>377.653</v>
      </c>
      <c r="K166" s="34">
        <f>I166+J166</f>
        <v>775.058</v>
      </c>
      <c r="L166" s="34">
        <f>43.0920648919096*K166</f>
        <v>33398.849630993675</v>
      </c>
      <c r="M166" s="34">
        <f>F166+L166</f>
        <v>33687.1479397507</v>
      </c>
      <c r="O166" s="4">
        <f>F166/M166</f>
        <v>0.00855810973587455</v>
      </c>
      <c r="P166" s="4">
        <f>L166/M166</f>
        <v>0.9914418902641255</v>
      </c>
    </row>
    <row r="167" spans="1:16" ht="12.75">
      <c r="A167" s="33">
        <v>1394</v>
      </c>
      <c r="B167" s="20"/>
      <c r="C167" s="34">
        <v>47.654</v>
      </c>
      <c r="D167" s="34"/>
      <c r="E167" s="34">
        <f>C167+D167</f>
        <v>47.654</v>
      </c>
      <c r="F167" s="34">
        <f>3.86194838323702*E167</f>
        <v>184.03728825477697</v>
      </c>
      <c r="H167" s="36"/>
      <c r="I167" s="34">
        <v>314.53</v>
      </c>
      <c r="J167" s="34">
        <v>336.062</v>
      </c>
      <c r="K167" s="34">
        <f>I167+J167</f>
        <v>650.592</v>
      </c>
      <c r="L167" s="34">
        <f>43.0920648919096*K167</f>
        <v>28035.352682157252</v>
      </c>
      <c r="M167" s="34">
        <f>F167+L167</f>
        <v>28219.38997041203</v>
      </c>
      <c r="O167" s="4">
        <f>F167/M167</f>
        <v>0.006521660760482054</v>
      </c>
      <c r="P167" s="4">
        <f>L167/M167</f>
        <v>0.9934783392395179</v>
      </c>
    </row>
    <row r="168" spans="1:16" ht="12.75">
      <c r="A168" s="33">
        <v>1395</v>
      </c>
      <c r="B168" s="20"/>
      <c r="C168" s="34">
        <v>47.654</v>
      </c>
      <c r="D168" s="34"/>
      <c r="E168" s="34">
        <f>C168+D168</f>
        <v>47.654</v>
      </c>
      <c r="F168" s="34">
        <f>3.86194838323702*E168</f>
        <v>184.03728825477697</v>
      </c>
      <c r="H168" s="36"/>
      <c r="I168" s="34">
        <v>314.53</v>
      </c>
      <c r="J168" s="34">
        <v>260.696</v>
      </c>
      <c r="K168" s="34">
        <f>I168+J168</f>
        <v>575.226</v>
      </c>
      <c r="L168" s="34">
        <f>43.0920648919096*K168</f>
        <v>24787.67611951359</v>
      </c>
      <c r="M168" s="34">
        <f>F168+L168</f>
        <v>24971.71340776837</v>
      </c>
      <c r="O168" s="4">
        <f>F168/M168</f>
        <v>0.007369830225487267</v>
      </c>
      <c r="P168" s="4">
        <f>L168/M168</f>
        <v>0.9926301697745127</v>
      </c>
    </row>
    <row r="169" spans="1:16" ht="12.75">
      <c r="A169" s="33">
        <v>1396</v>
      </c>
      <c r="B169" s="20"/>
      <c r="C169" s="34">
        <v>54.827</v>
      </c>
      <c r="D169" s="34"/>
      <c r="E169" s="34">
        <f>C169+D169</f>
        <v>54.827</v>
      </c>
      <c r="F169" s="34">
        <f>3.86194838323702*E169</f>
        <v>211.73904400773608</v>
      </c>
      <c r="H169" s="36"/>
      <c r="I169" s="34">
        <v>186.825</v>
      </c>
      <c r="J169" s="34">
        <v>128.921</v>
      </c>
      <c r="K169" s="34">
        <f>I169+J169</f>
        <v>315.746</v>
      </c>
      <c r="L169" s="34">
        <f>43.0920648919096*K169</f>
        <v>13606.147121360887</v>
      </c>
      <c r="M169" s="34">
        <f>F169+L169</f>
        <v>13817.886165368624</v>
      </c>
      <c r="O169" s="4">
        <f>F169/M169</f>
        <v>0.015323548151555311</v>
      </c>
      <c r="P169" s="4">
        <f>L169/M169</f>
        <v>0.9846764518484447</v>
      </c>
    </row>
    <row r="170" spans="1:16" ht="12.75">
      <c r="A170" s="33">
        <v>1397</v>
      </c>
      <c r="B170" s="20"/>
      <c r="C170" s="34">
        <v>190.153</v>
      </c>
      <c r="D170" s="34"/>
      <c r="E170" s="34">
        <f>C170+D170</f>
        <v>190.153</v>
      </c>
      <c r="F170" s="34">
        <f>3.86194838323702*E170</f>
        <v>734.361070917669</v>
      </c>
      <c r="H170" s="36"/>
      <c r="I170" s="34">
        <v>398.578</v>
      </c>
      <c r="J170" s="34">
        <v>122.578</v>
      </c>
      <c r="K170" s="34">
        <f>I170+J170</f>
        <v>521.156</v>
      </c>
      <c r="L170" s="34">
        <f>43.0920648919096*K170</f>
        <v>22457.688170808036</v>
      </c>
      <c r="M170" s="34">
        <f>F170+L170</f>
        <v>23192.049241725705</v>
      </c>
      <c r="O170" s="4">
        <f>F170/M170</f>
        <v>0.03166434596889575</v>
      </c>
      <c r="P170" s="4">
        <f>L170/M170</f>
        <v>0.9683356540311043</v>
      </c>
    </row>
    <row r="171" spans="1:16" ht="12.75">
      <c r="A171" s="33">
        <v>1398</v>
      </c>
      <c r="B171" s="20"/>
      <c r="C171" s="34">
        <v>190.153</v>
      </c>
      <c r="D171" s="34"/>
      <c r="E171" s="34">
        <f>C171+D171</f>
        <v>190.153</v>
      </c>
      <c r="F171" s="34">
        <f>3.86194838323702*E171</f>
        <v>734.361070917669</v>
      </c>
      <c r="H171" s="36"/>
      <c r="I171" s="34">
        <v>398.578</v>
      </c>
      <c r="J171" s="34">
        <v>9.95</v>
      </c>
      <c r="K171" s="34">
        <f>I171+J171</f>
        <v>408.52799999999996</v>
      </c>
      <c r="L171" s="34">
        <f>43.0920648919096*K171</f>
        <v>17604.315086162045</v>
      </c>
      <c r="M171" s="34">
        <f>F171+L171</f>
        <v>18338.676157079713</v>
      </c>
      <c r="O171" s="4">
        <f>F171/M171</f>
        <v>0.040044388407729545</v>
      </c>
      <c r="P171" s="4">
        <f>L171/M171</f>
        <v>0.9599556115922705</v>
      </c>
    </row>
    <row r="172" spans="1:16" ht="12.75">
      <c r="A172" s="33">
        <v>1399</v>
      </c>
      <c r="B172" s="20"/>
      <c r="C172" s="34">
        <v>355.954</v>
      </c>
      <c r="D172" s="34"/>
      <c r="E172" s="34">
        <f>C172+D172</f>
        <v>355.954</v>
      </c>
      <c r="F172" s="34">
        <f>3.86194838323702*E172</f>
        <v>1374.6759748067502</v>
      </c>
      <c r="H172" s="36"/>
      <c r="I172" s="34">
        <v>370.61</v>
      </c>
      <c r="J172" s="34">
        <v>18.061</v>
      </c>
      <c r="K172" s="34">
        <f>I172+J172</f>
        <v>388.671</v>
      </c>
      <c r="L172" s="34">
        <f>43.0920648919096*K172</f>
        <v>16748.635953603396</v>
      </c>
      <c r="M172" s="34">
        <f>F172+L172</f>
        <v>18123.311928410145</v>
      </c>
      <c r="O172" s="4">
        <f>F172/M172</f>
        <v>0.07585125611902122</v>
      </c>
      <c r="P172" s="4">
        <f>L172/M172</f>
        <v>0.9241487438809789</v>
      </c>
    </row>
    <row r="173" spans="1:16" ht="12.75">
      <c r="A173" s="33">
        <v>1400</v>
      </c>
      <c r="B173" s="20"/>
      <c r="C173" s="34">
        <v>86.893</v>
      </c>
      <c r="D173" s="34"/>
      <c r="E173" s="34">
        <f>C173+D173</f>
        <v>86.893</v>
      </c>
      <c r="F173" s="34">
        <f>3.86194838323702*E173</f>
        <v>335.5762808646144</v>
      </c>
      <c r="H173" s="36"/>
      <c r="I173" s="34">
        <v>180.717</v>
      </c>
      <c r="J173" s="34">
        <v>140.895</v>
      </c>
      <c r="K173" s="34">
        <f>I173+J173</f>
        <v>321.612</v>
      </c>
      <c r="L173" s="34">
        <f>43.0920648919096*K173</f>
        <v>13858.925174016831</v>
      </c>
      <c r="M173" s="34">
        <f>F173+L173</f>
        <v>14194.501454881445</v>
      </c>
      <c r="O173" s="4">
        <f>F173/M173</f>
        <v>0.023641286869515995</v>
      </c>
      <c r="P173" s="4">
        <f>L173/M173</f>
        <v>0.9763587131304841</v>
      </c>
    </row>
    <row r="174" spans="1:16" ht="12.75">
      <c r="A174" s="33">
        <v>1401</v>
      </c>
      <c r="B174" s="20"/>
      <c r="C174" s="34">
        <v>75.195</v>
      </c>
      <c r="D174" s="34"/>
      <c r="E174" s="34">
        <f>C174+D174</f>
        <v>75.195</v>
      </c>
      <c r="F174" s="34">
        <f>3.86194838323702*E174</f>
        <v>290.39920867750766</v>
      </c>
      <c r="H174" s="36"/>
      <c r="I174" s="34">
        <v>172.461</v>
      </c>
      <c r="J174" s="34">
        <v>140.895</v>
      </c>
      <c r="K174" s="34">
        <f>I174+J174</f>
        <v>313.356</v>
      </c>
      <c r="L174" s="34">
        <f>43.0920648919096*K174</f>
        <v>13503.157086269224</v>
      </c>
      <c r="M174" s="34">
        <f>F174+L174</f>
        <v>13793.556294946731</v>
      </c>
      <c r="O174" s="4">
        <f>F174/M174</f>
        <v>0.02105325142174505</v>
      </c>
      <c r="P174" s="4">
        <f>L174/M174</f>
        <v>0.978946748578255</v>
      </c>
    </row>
    <row r="175" spans="1:16" ht="12.75">
      <c r="A175" s="33">
        <v>1402</v>
      </c>
      <c r="B175" s="20"/>
      <c r="C175" s="34">
        <v>75.195</v>
      </c>
      <c r="D175" s="34"/>
      <c r="E175" s="34">
        <f>C175+D175</f>
        <v>75.195</v>
      </c>
      <c r="F175" s="34">
        <f>3.86194838323702*E175</f>
        <v>290.39920867750766</v>
      </c>
      <c r="H175" s="36"/>
      <c r="I175" s="34">
        <v>172.461</v>
      </c>
      <c r="J175" s="34">
        <v>40.188</v>
      </c>
      <c r="K175" s="34">
        <f>I175+J175</f>
        <v>212.649</v>
      </c>
      <c r="L175" s="34">
        <f>43.0920648919096*K175</f>
        <v>9163.484507199684</v>
      </c>
      <c r="M175" s="34">
        <f>F175+L175</f>
        <v>9453.883715877191</v>
      </c>
      <c r="O175" s="4">
        <f>F175/M175</f>
        <v>0.03071745088103853</v>
      </c>
      <c r="P175" s="4">
        <f>L175/M175</f>
        <v>0.9692825491189615</v>
      </c>
    </row>
    <row r="176" spans="1:16" ht="12.75">
      <c r="A176" s="33">
        <v>1403</v>
      </c>
      <c r="B176" s="20"/>
      <c r="C176" s="34">
        <v>41.802</v>
      </c>
      <c r="D176" s="34"/>
      <c r="E176" s="34">
        <f>C176+D176</f>
        <v>41.802</v>
      </c>
      <c r="F176" s="34">
        <f>3.86194838323702*E176</f>
        <v>161.4371663160739</v>
      </c>
      <c r="H176" s="36"/>
      <c r="I176" s="34">
        <v>103.955</v>
      </c>
      <c r="J176" s="34">
        <v>23.592</v>
      </c>
      <c r="K176" s="34">
        <f>I176+J176</f>
        <v>127.547</v>
      </c>
      <c r="L176" s="34">
        <f>43.0920648919096*K176</f>
        <v>5496.263600768394</v>
      </c>
      <c r="M176" s="34">
        <f>F176+L176</f>
        <v>5657.700767084468</v>
      </c>
      <c r="O176" s="4">
        <f>F176/M176</f>
        <v>0.028534058792095834</v>
      </c>
      <c r="P176" s="4">
        <f>L176/M176</f>
        <v>0.9714659412079042</v>
      </c>
    </row>
    <row r="177" spans="1:16" ht="12.75">
      <c r="A177" s="33">
        <v>1404</v>
      </c>
      <c r="B177" s="20"/>
      <c r="C177" s="34">
        <v>117.004</v>
      </c>
      <c r="D177" s="34"/>
      <c r="E177" s="34">
        <f>C177+D177</f>
        <v>117.004</v>
      </c>
      <c r="F177" s="34">
        <f>3.86194838323702*E177</f>
        <v>451.8634086322643</v>
      </c>
      <c r="H177" s="36"/>
      <c r="I177" s="34">
        <v>109.247</v>
      </c>
      <c r="J177" s="34">
        <v>3.497</v>
      </c>
      <c r="K177" s="34">
        <f>I177+J177</f>
        <v>112.744</v>
      </c>
      <c r="L177" s="34">
        <f>43.0920648919096*K177</f>
        <v>4858.371764173456</v>
      </c>
      <c r="M177" s="34">
        <f>F177+L177</f>
        <v>5310.23517280572</v>
      </c>
      <c r="O177" s="4">
        <f>F177/M177</f>
        <v>0.08509291847304709</v>
      </c>
      <c r="P177" s="4">
        <f>L177/M177</f>
        <v>0.9149070815269529</v>
      </c>
    </row>
    <row r="178" spans="1:16" ht="12.75">
      <c r="A178" s="33">
        <v>1405</v>
      </c>
      <c r="B178" s="20"/>
      <c r="C178" s="34">
        <v>22.522</v>
      </c>
      <c r="D178" s="34"/>
      <c r="E178" s="34">
        <f>C178+D178</f>
        <v>22.522</v>
      </c>
      <c r="F178" s="34">
        <f>3.86194838323702*E178</f>
        <v>86.97880148726415</v>
      </c>
      <c r="H178" s="36"/>
      <c r="I178" s="34">
        <v>77.06</v>
      </c>
      <c r="J178" s="34"/>
      <c r="K178" s="34">
        <f>I178+J178</f>
        <v>77.06</v>
      </c>
      <c r="L178" s="34">
        <f>43.0920648919096*K178</f>
        <v>3320.674520570554</v>
      </c>
      <c r="M178" s="34">
        <f>F178+L178</f>
        <v>3407.653322057818</v>
      </c>
      <c r="O178" s="4">
        <f>F178/M178</f>
        <v>0.02552454527115431</v>
      </c>
      <c r="P178" s="4">
        <f>L178/M178</f>
        <v>0.9744754547288457</v>
      </c>
    </row>
    <row r="179" spans="1:16" ht="12.75">
      <c r="A179" s="33">
        <v>1406</v>
      </c>
      <c r="B179" s="20"/>
      <c r="C179" s="34">
        <v>26.258</v>
      </c>
      <c r="D179" s="34"/>
      <c r="E179" s="34">
        <f>C179+D179</f>
        <v>26.258</v>
      </c>
      <c r="F179" s="34">
        <f>3.86194838323702*E179</f>
        <v>101.40704064703766</v>
      </c>
      <c r="H179" s="36"/>
      <c r="I179" s="34">
        <v>125.488</v>
      </c>
      <c r="J179" s="34"/>
      <c r="K179" s="34">
        <f>I179+J179</f>
        <v>125.488</v>
      </c>
      <c r="L179" s="34">
        <f>43.0920648919096*K179</f>
        <v>5407.537039155952</v>
      </c>
      <c r="M179" s="34">
        <f>F179+L179</f>
        <v>5508.944079802989</v>
      </c>
      <c r="O179" s="4">
        <f>F179/M179</f>
        <v>0.01840770920489434</v>
      </c>
      <c r="P179" s="4">
        <f>L179/M179</f>
        <v>0.9815922907951057</v>
      </c>
    </row>
    <row r="180" spans="1:16" ht="12.75">
      <c r="A180" s="33">
        <v>1407</v>
      </c>
      <c r="B180" s="20"/>
      <c r="C180" s="34">
        <v>20.627</v>
      </c>
      <c r="D180" s="34"/>
      <c r="E180" s="34">
        <f>C180+D180</f>
        <v>20.627</v>
      </c>
      <c r="F180" s="34">
        <f>3.86194838323702*E180</f>
        <v>79.66040930103</v>
      </c>
      <c r="H180" s="36"/>
      <c r="I180" s="34">
        <v>69.184</v>
      </c>
      <c r="J180" s="34"/>
      <c r="K180" s="34">
        <f>I180+J180</f>
        <v>69.184</v>
      </c>
      <c r="L180" s="34">
        <f>43.0920648919096*K180</f>
        <v>2981.2814174818736</v>
      </c>
      <c r="M180" s="34">
        <f>F180+L180</f>
        <v>3060.9418267829037</v>
      </c>
      <c r="O180" s="4">
        <f>F180/M180</f>
        <v>0.026024803413122785</v>
      </c>
      <c r="P180" s="4">
        <f>L180/M180</f>
        <v>0.9739751965868771</v>
      </c>
    </row>
    <row r="181" spans="1:16" ht="12.75">
      <c r="A181" s="33">
        <v>1408</v>
      </c>
      <c r="B181" s="20"/>
      <c r="C181" s="34">
        <v>2.077</v>
      </c>
      <c r="D181" s="34"/>
      <c r="E181" s="34">
        <f>C181+D181</f>
        <v>2.077</v>
      </c>
      <c r="F181" s="34">
        <f>3.86194838323702*E181</f>
        <v>8.02126679198329</v>
      </c>
      <c r="H181" s="36"/>
      <c r="I181" s="34">
        <v>50.353</v>
      </c>
      <c r="J181" s="34"/>
      <c r="K181" s="34">
        <f>I181+J181</f>
        <v>50.353</v>
      </c>
      <c r="L181" s="34">
        <f>43.0920648919096*K181</f>
        <v>2169.8147435023243</v>
      </c>
      <c r="M181" s="34">
        <f>F181+L181</f>
        <v>2177.8360102943075</v>
      </c>
      <c r="O181" s="4">
        <f>F181/M181</f>
        <v>0.003683136266490201</v>
      </c>
      <c r="P181" s="4">
        <f>L181/M181</f>
        <v>0.9963168637335098</v>
      </c>
    </row>
    <row r="182" spans="1:16" ht="12.75">
      <c r="A182" s="33">
        <v>1409</v>
      </c>
      <c r="B182" s="20"/>
      <c r="C182" s="34">
        <v>2</v>
      </c>
      <c r="D182" s="34"/>
      <c r="E182" s="34">
        <f>C182+D182</f>
        <v>2</v>
      </c>
      <c r="F182" s="34">
        <f>3.86194838323702*E182</f>
        <v>7.72389676647404</v>
      </c>
      <c r="H182" s="36"/>
      <c r="I182" s="34">
        <v>50</v>
      </c>
      <c r="J182" s="34"/>
      <c r="K182" s="34">
        <f>I182+J182</f>
        <v>50</v>
      </c>
      <c r="L182" s="34">
        <f>43.0920648919096*K182</f>
        <v>2154.60324459548</v>
      </c>
      <c r="M182" s="34">
        <f>F182+L182</f>
        <v>2162.327141361954</v>
      </c>
      <c r="O182" s="4">
        <f>F182/M182</f>
        <v>0.0035720296983411583</v>
      </c>
      <c r="P182" s="4">
        <f>L182/M182</f>
        <v>0.9964279703016589</v>
      </c>
    </row>
    <row r="183" spans="1:16" ht="12.75">
      <c r="A183" s="33">
        <v>1410</v>
      </c>
      <c r="B183" s="20"/>
      <c r="C183" s="34">
        <v>2</v>
      </c>
      <c r="D183" s="34"/>
      <c r="E183" s="34">
        <f>C183+D183</f>
        <v>2</v>
      </c>
      <c r="F183" s="34">
        <f>3.86194838323702*E183</f>
        <v>7.72389676647404</v>
      </c>
      <c r="H183" s="36"/>
      <c r="I183" s="34">
        <v>50</v>
      </c>
      <c r="J183" s="34"/>
      <c r="K183" s="34">
        <f>I183+J183</f>
        <v>50</v>
      </c>
      <c r="L183" s="34">
        <f>43.0920648919096*K183</f>
        <v>2154.60324459548</v>
      </c>
      <c r="M183" s="34">
        <f>F183+L183</f>
        <v>2162.327141361954</v>
      </c>
      <c r="O183" s="4">
        <f>F183/M183</f>
        <v>0.0035720296983411583</v>
      </c>
      <c r="P183" s="4">
        <f>L183/M183</f>
        <v>0.9964279703016589</v>
      </c>
    </row>
    <row r="184" spans="1:16" ht="12.75">
      <c r="A184" s="33">
        <v>1411</v>
      </c>
      <c r="B184" s="20"/>
      <c r="C184" s="34">
        <v>2</v>
      </c>
      <c r="D184" s="34"/>
      <c r="E184" s="34">
        <f>C184+D184</f>
        <v>2</v>
      </c>
      <c r="F184" s="34">
        <f>3.86194838323702*E184</f>
        <v>7.72389676647404</v>
      </c>
      <c r="H184" s="36"/>
      <c r="I184" s="34">
        <v>50</v>
      </c>
      <c r="J184" s="34"/>
      <c r="K184" s="34">
        <f>I184+J184</f>
        <v>50</v>
      </c>
      <c r="L184" s="34">
        <f>43.0920648919096*K184</f>
        <v>2154.60324459548</v>
      </c>
      <c r="M184" s="34">
        <f>F184+L184</f>
        <v>2162.327141361954</v>
      </c>
      <c r="O184" s="4">
        <f>F184/M184</f>
        <v>0.0035720296983411583</v>
      </c>
      <c r="P184" s="4">
        <f>L184/M184</f>
        <v>0.9964279703016589</v>
      </c>
    </row>
    <row r="185" spans="1:16" ht="12.75">
      <c r="A185" s="33">
        <v>1412</v>
      </c>
      <c r="B185" s="20"/>
      <c r="C185" s="34">
        <v>523.442</v>
      </c>
      <c r="D185" s="34"/>
      <c r="E185" s="34">
        <f>C185+D185</f>
        <v>523.442</v>
      </c>
      <c r="F185" s="34">
        <f>4.63433805988442*E185</f>
        <v>2425.8071827420204</v>
      </c>
      <c r="H185" s="36"/>
      <c r="I185" s="34">
        <v>2608.424</v>
      </c>
      <c r="J185" s="34"/>
      <c r="K185" s="34">
        <f>I185+J185</f>
        <v>2608.424</v>
      </c>
      <c r="L185" s="34">
        <f>47.8800721021218*K185</f>
        <v>124891.52919290496</v>
      </c>
      <c r="M185" s="34">
        <f>F185+L185</f>
        <v>127317.33637564698</v>
      </c>
      <c r="O185" s="4">
        <f>F185/M185</f>
        <v>0.019053235417875302</v>
      </c>
      <c r="P185" s="4">
        <f>L185/M185</f>
        <v>0.9809467645821247</v>
      </c>
    </row>
    <row r="186" spans="1:16" ht="12.75">
      <c r="A186" s="33">
        <v>1413</v>
      </c>
      <c r="B186" s="20"/>
      <c r="C186" s="34">
        <v>1283.579</v>
      </c>
      <c r="D186" s="34"/>
      <c r="E186" s="34">
        <f>C186+D186</f>
        <v>1283.579</v>
      </c>
      <c r="F186" s="34">
        <f>4.63433805988442*E186</f>
        <v>5948.539012568383</v>
      </c>
      <c r="H186" s="36"/>
      <c r="I186" s="34">
        <v>3421.064</v>
      </c>
      <c r="J186" s="34"/>
      <c r="K186" s="34">
        <f>I186+J186</f>
        <v>3421.064</v>
      </c>
      <c r="L186" s="34">
        <f>47.8800721021218*K186</f>
        <v>163800.7909859732</v>
      </c>
      <c r="M186" s="34">
        <f>F186+L186</f>
        <v>169749.3299985416</v>
      </c>
      <c r="O186" s="4">
        <f>F186/M186</f>
        <v>0.03504307800578353</v>
      </c>
      <c r="P186" s="4">
        <f>L186/M186</f>
        <v>0.9649569219942165</v>
      </c>
    </row>
    <row r="187" spans="1:16" ht="12.75">
      <c r="A187" s="33">
        <v>1414</v>
      </c>
      <c r="B187" s="20"/>
      <c r="C187" s="34">
        <v>1514.2</v>
      </c>
      <c r="D187" s="34"/>
      <c r="E187" s="34">
        <f>C187+D187</f>
        <v>1514.2</v>
      </c>
      <c r="F187" s="34">
        <f>4.63433805988442*E187</f>
        <v>7017.314690276989</v>
      </c>
      <c r="H187" s="36"/>
      <c r="I187" s="34">
        <v>1636.929</v>
      </c>
      <c r="J187" s="34"/>
      <c r="K187" s="34">
        <f>I187+J187</f>
        <v>1636.929</v>
      </c>
      <c r="L187" s="34">
        <f>47.8800721021218*K187</f>
        <v>78376.27854605413</v>
      </c>
      <c r="M187" s="34">
        <f>F187+L187</f>
        <v>85393.59323633113</v>
      </c>
      <c r="O187" s="4">
        <f>F187/M187</f>
        <v>0.08217612615101243</v>
      </c>
      <c r="P187" s="4">
        <f>L187/M187</f>
        <v>0.9178238738489874</v>
      </c>
    </row>
    <row r="188" spans="1:16" ht="12.75">
      <c r="A188" s="33">
        <v>1415</v>
      </c>
      <c r="B188" s="20"/>
      <c r="C188" s="34">
        <v>1514.2</v>
      </c>
      <c r="D188" s="34"/>
      <c r="E188" s="34">
        <f>C188+D188</f>
        <v>1514.2</v>
      </c>
      <c r="F188" s="34">
        <f>4.63433805988442*E188</f>
        <v>7017.314690276989</v>
      </c>
      <c r="H188" s="36"/>
      <c r="I188" s="34">
        <v>1636.929</v>
      </c>
      <c r="J188" s="34"/>
      <c r="K188" s="34">
        <f>I188+J188</f>
        <v>1636.929</v>
      </c>
      <c r="L188" s="34">
        <f>47.8800721021218*K188</f>
        <v>78376.27854605413</v>
      </c>
      <c r="M188" s="34">
        <f>F188+L188</f>
        <v>85393.59323633113</v>
      </c>
      <c r="O188" s="4">
        <f>F188/M188</f>
        <v>0.08217612615101243</v>
      </c>
      <c r="P188" s="4">
        <f>L188/M188</f>
        <v>0.9178238738489874</v>
      </c>
    </row>
    <row r="189" spans="1:16" ht="12.75">
      <c r="A189" s="33">
        <v>1416</v>
      </c>
      <c r="B189" s="20"/>
      <c r="C189" s="34">
        <v>1514.2</v>
      </c>
      <c r="D189" s="34"/>
      <c r="E189" s="34">
        <f>C189+D189</f>
        <v>1514.2</v>
      </c>
      <c r="F189" s="34">
        <f>4.63433805988442*E189</f>
        <v>7017.314690276989</v>
      </c>
      <c r="H189" s="36"/>
      <c r="I189" s="34">
        <v>1636.929</v>
      </c>
      <c r="J189" s="34"/>
      <c r="K189" s="34">
        <f>I189+J189</f>
        <v>1636.929</v>
      </c>
      <c r="L189" s="34">
        <f>47.8800721021218*K189</f>
        <v>78376.27854605413</v>
      </c>
      <c r="M189" s="34">
        <f>F189+L189</f>
        <v>85393.59323633113</v>
      </c>
      <c r="O189" s="4">
        <f>F189/M189</f>
        <v>0.08217612615101243</v>
      </c>
      <c r="P189" s="4">
        <f>L189/M189</f>
        <v>0.9178238738489874</v>
      </c>
    </row>
    <row r="190" spans="1:16" ht="12.75">
      <c r="A190" s="33">
        <v>1417</v>
      </c>
      <c r="B190" s="20"/>
      <c r="C190" s="34">
        <v>1514.2</v>
      </c>
      <c r="D190" s="34"/>
      <c r="E190" s="34">
        <f>C190+D190</f>
        <v>1514.2</v>
      </c>
      <c r="F190" s="34">
        <f>4.63433805988442*E190</f>
        <v>7017.314690276989</v>
      </c>
      <c r="H190" s="36"/>
      <c r="I190" s="34">
        <v>1636.929</v>
      </c>
      <c r="J190" s="34"/>
      <c r="K190" s="34">
        <f>I190+J190</f>
        <v>1636.929</v>
      </c>
      <c r="L190" s="34">
        <f>47.8800721021218*K190</f>
        <v>78376.27854605413</v>
      </c>
      <c r="M190" s="34">
        <f>F190+L190</f>
        <v>85393.59323633113</v>
      </c>
      <c r="O190" s="4">
        <f>F190/M190</f>
        <v>0.08217612615101243</v>
      </c>
      <c r="P190" s="4">
        <f>L190/M190</f>
        <v>0.9178238738489874</v>
      </c>
    </row>
    <row r="191" spans="1:16" ht="12.75">
      <c r="A191" s="33">
        <v>1418</v>
      </c>
      <c r="B191" s="20"/>
      <c r="C191" s="34">
        <v>454.218</v>
      </c>
      <c r="D191" s="34"/>
      <c r="E191" s="34">
        <f>C191+D191</f>
        <v>454.218</v>
      </c>
      <c r="F191" s="34">
        <f>4.63433805988442*E191</f>
        <v>2104.9997648845815</v>
      </c>
      <c r="H191" s="36"/>
      <c r="I191" s="34">
        <v>664.836</v>
      </c>
      <c r="J191" s="34"/>
      <c r="K191" s="34">
        <f>I191+J191</f>
        <v>664.836</v>
      </c>
      <c r="L191" s="34">
        <f>47.8800721021218*K191</f>
        <v>31832.39561608625</v>
      </c>
      <c r="M191" s="34">
        <f>F191+L191</f>
        <v>33937.39538097083</v>
      </c>
      <c r="O191" s="4">
        <f>F191/M191</f>
        <v>0.06202596696813345</v>
      </c>
      <c r="P191" s="4">
        <f>L191/M191</f>
        <v>0.9379740330318665</v>
      </c>
    </row>
    <row r="192" spans="1:16" ht="12.75">
      <c r="A192" s="33">
        <v>1419</v>
      </c>
      <c r="B192" s="20"/>
      <c r="C192" s="34">
        <v>371.952</v>
      </c>
      <c r="D192" s="34"/>
      <c r="E192" s="34">
        <f>C192+D192</f>
        <v>371.952</v>
      </c>
      <c r="F192" s="34">
        <f>4.63433805988442*E192</f>
        <v>1723.7513100501296</v>
      </c>
      <c r="H192" s="36"/>
      <c r="I192" s="34">
        <v>633.121</v>
      </c>
      <c r="J192" s="34"/>
      <c r="K192" s="34">
        <f>I192+J192</f>
        <v>633.121</v>
      </c>
      <c r="L192" s="34">
        <f>47.8800721021218*K192</f>
        <v>30313.879129367455</v>
      </c>
      <c r="M192" s="34">
        <f>F192+L192</f>
        <v>32037.630439417586</v>
      </c>
      <c r="O192" s="4">
        <f>F192/M192</f>
        <v>0.05380395760884074</v>
      </c>
      <c r="P192" s="4">
        <f>L192/M192</f>
        <v>0.9461960423911592</v>
      </c>
    </row>
    <row r="193" spans="1:16" ht="12.75">
      <c r="A193" s="33">
        <v>1420</v>
      </c>
      <c r="B193" s="20"/>
      <c r="C193" s="34">
        <v>334.244</v>
      </c>
      <c r="D193" s="34"/>
      <c r="E193" s="34">
        <f>C193+D193</f>
        <v>334.244</v>
      </c>
      <c r="F193" s="34">
        <f>4.63433805988442*E193</f>
        <v>1548.9996904880081</v>
      </c>
      <c r="H193" s="36"/>
      <c r="I193" s="34">
        <v>603.937</v>
      </c>
      <c r="J193" s="34"/>
      <c r="K193" s="34">
        <f>I193+J193</f>
        <v>603.937</v>
      </c>
      <c r="L193" s="34">
        <f>47.8800721021218*K193</f>
        <v>28916.547105139136</v>
      </c>
      <c r="M193" s="34">
        <f>F193+L193</f>
        <v>30465.546795627146</v>
      </c>
      <c r="O193" s="4">
        <f>F193/M193</f>
        <v>0.05084430950408357</v>
      </c>
      <c r="P193" s="4">
        <f>L193/M193</f>
        <v>0.9491556904959164</v>
      </c>
    </row>
    <row r="194" spans="1:16" ht="12.75">
      <c r="A194" s="33">
        <v>1421</v>
      </c>
      <c r="B194" s="20"/>
      <c r="C194" s="34">
        <v>478.502</v>
      </c>
      <c r="D194" s="34"/>
      <c r="E194" s="34">
        <f>C194+D194</f>
        <v>478.502</v>
      </c>
      <c r="F194" s="34">
        <f>4.63433805988442*E194</f>
        <v>2217.5400303308147</v>
      </c>
      <c r="H194" s="36"/>
      <c r="I194" s="34">
        <v>1371.084</v>
      </c>
      <c r="J194" s="34"/>
      <c r="K194" s="34">
        <f>I194+J194</f>
        <v>1371.084</v>
      </c>
      <c r="L194" s="34">
        <f>47.8800721021218*K194</f>
        <v>65647.60077806556</v>
      </c>
      <c r="M194" s="34">
        <f>F194+L194</f>
        <v>67865.14080839638</v>
      </c>
      <c r="O194" s="4">
        <f>F194/M194</f>
        <v>0.0326756859842315</v>
      </c>
      <c r="P194" s="4">
        <f>L194/M194</f>
        <v>0.9673243140157686</v>
      </c>
    </row>
    <row r="195" spans="1:16" ht="12.75">
      <c r="A195" s="33">
        <v>1422</v>
      </c>
      <c r="B195" s="20"/>
      <c r="C195" s="34">
        <v>687.473</v>
      </c>
      <c r="D195" s="34">
        <v>310.42</v>
      </c>
      <c r="E195" s="34">
        <f>C195+D195</f>
        <v>997.893</v>
      </c>
      <c r="F195" s="34">
        <f>4.63433805988442*E195</f>
        <v>4624.573509592244</v>
      </c>
      <c r="H195" s="36"/>
      <c r="I195" s="34">
        <v>2060.265</v>
      </c>
      <c r="J195" s="34">
        <v>159.949</v>
      </c>
      <c r="K195" s="34">
        <f>I195+J195</f>
        <v>2220.214</v>
      </c>
      <c r="L195" s="34">
        <f>47.8800721021218*K195</f>
        <v>106304.00640214025</v>
      </c>
      <c r="M195" s="34">
        <f>F195+L195</f>
        <v>110928.5799117325</v>
      </c>
      <c r="O195" s="4">
        <f>F195/M195</f>
        <v>0.04168964854027776</v>
      </c>
      <c r="P195" s="4">
        <f>L195/M195</f>
        <v>0.9583103514597222</v>
      </c>
    </row>
    <row r="196" spans="1:16" ht="12.75">
      <c r="A196" s="33">
        <v>1423</v>
      </c>
      <c r="B196" s="20"/>
      <c r="C196" s="34">
        <v>896.444</v>
      </c>
      <c r="D196" s="34">
        <v>1541.998</v>
      </c>
      <c r="E196" s="34">
        <f>C196+D196</f>
        <v>2438.442</v>
      </c>
      <c r="F196" s="34">
        <f>4.63433805988442*E196</f>
        <v>11300.564567420684</v>
      </c>
      <c r="H196" s="36"/>
      <c r="I196" s="34">
        <v>2749.446</v>
      </c>
      <c r="J196" s="34">
        <v>939.139</v>
      </c>
      <c r="K196" s="34">
        <f>I196+J196</f>
        <v>3688.585</v>
      </c>
      <c r="L196" s="34">
        <f>47.8800721021218*K196</f>
        <v>176609.71575480496</v>
      </c>
      <c r="M196" s="34">
        <f>F196+L196</f>
        <v>187910.28032222565</v>
      </c>
      <c r="O196" s="4">
        <f>F196/M196</f>
        <v>0.06013808583565865</v>
      </c>
      <c r="P196" s="4">
        <f>L196/M196</f>
        <v>0.9398619141643413</v>
      </c>
    </row>
    <row r="197" spans="1:16" ht="12.75">
      <c r="A197" s="33">
        <v>1424</v>
      </c>
      <c r="B197" s="20"/>
      <c r="C197" s="34">
        <v>896.444</v>
      </c>
      <c r="D197" s="34">
        <v>4622.912</v>
      </c>
      <c r="E197" s="34">
        <f>C197+D197</f>
        <v>5519.356</v>
      </c>
      <c r="F197" s="34">
        <f>4.63433805988442*E197</f>
        <v>25578.56157685143</v>
      </c>
      <c r="H197" s="36"/>
      <c r="I197" s="34">
        <v>2749.446</v>
      </c>
      <c r="J197" s="34">
        <v>1243.533</v>
      </c>
      <c r="K197" s="34">
        <f>I197+J197</f>
        <v>3992.979</v>
      </c>
      <c r="L197" s="34">
        <f>47.8800721021218*K197</f>
        <v>191184.1224222582</v>
      </c>
      <c r="M197" s="34">
        <f>F197+L197</f>
        <v>216762.68399910963</v>
      </c>
      <c r="O197" s="4">
        <f>F197/M197</f>
        <v>0.11800260591420106</v>
      </c>
      <c r="P197" s="4">
        <f>L197/M197</f>
        <v>0.8819973940857989</v>
      </c>
    </row>
    <row r="198" spans="1:16" ht="12.75">
      <c r="A198" s="33">
        <v>1425</v>
      </c>
      <c r="B198" s="20"/>
      <c r="C198" s="34">
        <v>521.875</v>
      </c>
      <c r="D198" s="34">
        <v>5974.031</v>
      </c>
      <c r="E198" s="34">
        <f>C198+D198</f>
        <v>6495.906</v>
      </c>
      <c r="F198" s="34">
        <f>4.63433805988442*E198</f>
        <v>30104.22440923156</v>
      </c>
      <c r="H198" s="36"/>
      <c r="I198" s="34">
        <v>1206.362</v>
      </c>
      <c r="J198" s="34">
        <v>307.345</v>
      </c>
      <c r="K198" s="34">
        <f>I198+J198</f>
        <v>1513.707</v>
      </c>
      <c r="L198" s="34">
        <f>47.8800721021218*K198</f>
        <v>72476.40030148649</v>
      </c>
      <c r="M198" s="34">
        <f>F198+L198</f>
        <v>102580.62471071805</v>
      </c>
      <c r="O198" s="4">
        <f>F198/M198</f>
        <v>0.2934689128100635</v>
      </c>
      <c r="P198" s="4">
        <f>L198/M198</f>
        <v>0.7065310871899364</v>
      </c>
    </row>
    <row r="199" spans="1:16" ht="12.75">
      <c r="A199" s="33">
        <v>1426</v>
      </c>
      <c r="B199" s="20"/>
      <c r="C199" s="34">
        <v>562.276</v>
      </c>
      <c r="D199" s="34">
        <v>5046.416</v>
      </c>
      <c r="E199" s="34">
        <f>C199+D199</f>
        <v>5608.692</v>
      </c>
      <c r="F199" s="34">
        <f>4.63433805988442*E199</f>
        <v>25992.574801769264</v>
      </c>
      <c r="H199" s="36"/>
      <c r="I199" s="34">
        <v>688.738</v>
      </c>
      <c r="J199" s="34">
        <v>171.007</v>
      </c>
      <c r="K199" s="34">
        <f>I199+J199</f>
        <v>859.7450000000001</v>
      </c>
      <c r="L199" s="34">
        <f>47.8800721021218*K199</f>
        <v>41164.652589438716</v>
      </c>
      <c r="M199" s="34">
        <f>F199+L199</f>
        <v>67157.22739120798</v>
      </c>
      <c r="O199" s="4">
        <f>F199/M199</f>
        <v>0.38704061813564583</v>
      </c>
      <c r="P199" s="4">
        <f>L199/M199</f>
        <v>0.6129593818643541</v>
      </c>
    </row>
    <row r="200" spans="1:16" ht="12.75">
      <c r="A200" s="33">
        <v>1427</v>
      </c>
      <c r="B200" s="20"/>
      <c r="C200" s="34">
        <v>506.323</v>
      </c>
      <c r="D200" s="34">
        <v>4610.237</v>
      </c>
      <c r="E200" s="34">
        <f>C200+D200</f>
        <v>5116.56</v>
      </c>
      <c r="F200" s="34">
        <f>4.63433805988442*E200</f>
        <v>23711.86874368223</v>
      </c>
      <c r="H200" s="36"/>
      <c r="I200" s="34">
        <v>648.146</v>
      </c>
      <c r="J200" s="34">
        <v>94.766</v>
      </c>
      <c r="K200" s="34">
        <f>I200+J200</f>
        <v>742.9119999999999</v>
      </c>
      <c r="L200" s="34">
        <f>47.8800721021218*K200</f>
        <v>35570.68012553151</v>
      </c>
      <c r="M200" s="34">
        <f>F200+L200</f>
        <v>59282.54886921374</v>
      </c>
      <c r="O200" s="4">
        <f>F200/M200</f>
        <v>0.3999805878116711</v>
      </c>
      <c r="P200" s="4">
        <f>L200/M200</f>
        <v>0.6000194121883289</v>
      </c>
    </row>
    <row r="201" spans="1:16" ht="12.75">
      <c r="A201" s="33">
        <v>1428</v>
      </c>
      <c r="B201" s="20"/>
      <c r="C201" s="34">
        <v>376.652</v>
      </c>
      <c r="D201" s="34">
        <v>5646.787</v>
      </c>
      <c r="E201" s="34">
        <f>C201+D201</f>
        <v>6023.439</v>
      </c>
      <c r="F201" s="34">
        <f>4.63433805988442*E201</f>
        <v>27914.65260909215</v>
      </c>
      <c r="H201" s="36"/>
      <c r="I201" s="34">
        <v>588.925</v>
      </c>
      <c r="J201" s="34">
        <v>46.543</v>
      </c>
      <c r="K201" s="34">
        <f>I201+J201</f>
        <v>635.468</v>
      </c>
      <c r="L201" s="34">
        <f>47.8800721021218*K201</f>
        <v>30426.253658591133</v>
      </c>
      <c r="M201" s="34">
        <f>F201+L201</f>
        <v>58340.906267683284</v>
      </c>
      <c r="O201" s="4">
        <f>F201/M201</f>
        <v>0.4784747854449235</v>
      </c>
      <c r="P201" s="4">
        <f>L201/M201</f>
        <v>0.5215252145550765</v>
      </c>
    </row>
    <row r="202" spans="1:16" ht="12.75">
      <c r="A202" s="33">
        <v>1429</v>
      </c>
      <c r="B202" s="20"/>
      <c r="C202" s="34">
        <v>624.647</v>
      </c>
      <c r="D202" s="34">
        <v>7722.475</v>
      </c>
      <c r="E202" s="34">
        <f>C202+D202</f>
        <v>8347.122000000001</v>
      </c>
      <c r="F202" s="34">
        <f>4.63433805988442*E202</f>
        <v>38683.38517509856</v>
      </c>
      <c r="H202" s="36"/>
      <c r="I202" s="34">
        <v>354.79</v>
      </c>
      <c r="J202" s="34">
        <v>36.058</v>
      </c>
      <c r="K202" s="34">
        <f>I202+J202</f>
        <v>390.848</v>
      </c>
      <c r="L202" s="34">
        <f>47.8800721021218*K202</f>
        <v>18713.830420970102</v>
      </c>
      <c r="M202" s="34">
        <f>F202+L202</f>
        <v>57397.215596068665</v>
      </c>
      <c r="O202" s="4">
        <f>F202/M202</f>
        <v>0.6739592639359343</v>
      </c>
      <c r="P202" s="4">
        <f>L202/M202</f>
        <v>0.32604073606406575</v>
      </c>
    </row>
    <row r="203" spans="1:16" ht="12.75">
      <c r="A203" s="33">
        <v>1430</v>
      </c>
      <c r="B203" s="20"/>
      <c r="C203" s="34">
        <v>616.014</v>
      </c>
      <c r="D203" s="34">
        <v>8581.212</v>
      </c>
      <c r="E203" s="34">
        <f>C203+D203</f>
        <v>9197.225999999999</v>
      </c>
      <c r="F203" s="34">
        <f>4.63433805988442*E203</f>
        <v>42623.05449715853</v>
      </c>
      <c r="H203" s="36"/>
      <c r="I203" s="34">
        <v>328.35</v>
      </c>
      <c r="J203" s="34">
        <v>40.069</v>
      </c>
      <c r="K203" s="34">
        <f>I203+J203</f>
        <v>368.41900000000004</v>
      </c>
      <c r="L203" s="34">
        <f>47.8800721021218*K203</f>
        <v>17639.928283791614</v>
      </c>
      <c r="M203" s="34">
        <f>F203+L203</f>
        <v>60262.982780950144</v>
      </c>
      <c r="O203" s="4">
        <f>F203/M203</f>
        <v>0.7072841822664011</v>
      </c>
      <c r="P203" s="4">
        <f>L203/M203</f>
        <v>0.29271581773359895</v>
      </c>
    </row>
    <row r="204" spans="1:16" ht="12.75">
      <c r="A204" s="33">
        <v>1431</v>
      </c>
      <c r="B204" s="20"/>
      <c r="C204" s="34">
        <v>607.382</v>
      </c>
      <c r="D204" s="34">
        <v>9926.776</v>
      </c>
      <c r="E204" s="34">
        <f>C204+D204</f>
        <v>10534.158</v>
      </c>
      <c r="F204" s="34">
        <f>4.63433805988442*E204</f>
        <v>48818.84934823593</v>
      </c>
      <c r="H204" s="36"/>
      <c r="I204" s="34">
        <v>301.909</v>
      </c>
      <c r="J204" s="34">
        <v>42.167</v>
      </c>
      <c r="K204" s="34">
        <f>I204+J204</f>
        <v>344.076</v>
      </c>
      <c r="L204" s="34">
        <f>47.8800721021218*K204</f>
        <v>16474.38368860966</v>
      </c>
      <c r="M204" s="34">
        <f>F204+L204</f>
        <v>65293.233036845595</v>
      </c>
      <c r="O204" s="4">
        <f>F204/M204</f>
        <v>0.7476862008148224</v>
      </c>
      <c r="P204" s="4">
        <f>L204/M204</f>
        <v>0.25231379918517755</v>
      </c>
    </row>
    <row r="205" spans="1:16" ht="12.75">
      <c r="A205" s="33">
        <v>1432</v>
      </c>
      <c r="B205" s="20"/>
      <c r="C205" s="34">
        <v>474.796</v>
      </c>
      <c r="D205" s="34">
        <v>9662.221</v>
      </c>
      <c r="E205" s="34">
        <f>C205+D205</f>
        <v>10137.017</v>
      </c>
      <c r="F205" s="34">
        <f>4.63433805988442*E205</f>
        <v>46978.36369679538</v>
      </c>
      <c r="H205" s="36"/>
      <c r="I205" s="34">
        <v>227.479</v>
      </c>
      <c r="J205" s="34"/>
      <c r="K205" s="34">
        <f>I205+J205</f>
        <v>227.479</v>
      </c>
      <c r="L205" s="34">
        <f>47.8800721021218*K205</f>
        <v>10891.710921718566</v>
      </c>
      <c r="M205" s="34">
        <f>F205+L205</f>
        <v>57870.07461851394</v>
      </c>
      <c r="O205" s="4">
        <f>F205/M205</f>
        <v>0.8117902734095653</v>
      </c>
      <c r="P205" s="4">
        <f>L205/M205</f>
        <v>0.18820972659043475</v>
      </c>
    </row>
    <row r="206" spans="1:16" ht="12.75">
      <c r="A206" s="33">
        <v>1433</v>
      </c>
      <c r="B206" s="20"/>
      <c r="C206" s="34">
        <v>278.848</v>
      </c>
      <c r="D206" s="34">
        <v>8848.461</v>
      </c>
      <c r="E206" s="34">
        <f>C206+D206</f>
        <v>9127.309</v>
      </c>
      <c r="F206" s="34">
        <f>4.63433805988442*E206</f>
        <v>42299.0354830256</v>
      </c>
      <c r="H206" s="36"/>
      <c r="I206" s="34">
        <v>170.516</v>
      </c>
      <c r="J206" s="34"/>
      <c r="K206" s="34">
        <f>I206+J206</f>
        <v>170.516</v>
      </c>
      <c r="L206" s="34">
        <f>47.8800721021218*K206</f>
        <v>8164.3183745654005</v>
      </c>
      <c r="M206" s="34">
        <f>F206+L206</f>
        <v>50463.353857591</v>
      </c>
      <c r="O206" s="4">
        <f>F206/M206</f>
        <v>0.838212925807402</v>
      </c>
      <c r="P206" s="4">
        <f>L206/M206</f>
        <v>0.161787074192598</v>
      </c>
    </row>
    <row r="207" spans="1:16" ht="12.75">
      <c r="A207" s="33">
        <v>1434</v>
      </c>
      <c r="B207" s="20"/>
      <c r="C207" s="34">
        <v>184.489</v>
      </c>
      <c r="D207" s="34">
        <v>5852.615</v>
      </c>
      <c r="E207" s="34">
        <f>C207+D207</f>
        <v>6037.103999999999</v>
      </c>
      <c r="F207" s="34">
        <f>4.63433805988442*E207</f>
        <v>27977.980838680465</v>
      </c>
      <c r="H207" s="36"/>
      <c r="I207" s="34">
        <v>221.013</v>
      </c>
      <c r="J207" s="34"/>
      <c r="K207" s="34">
        <f>I207+J207</f>
        <v>221.013</v>
      </c>
      <c r="L207" s="34">
        <f>47.8800721021218*K207</f>
        <v>10582.118375506247</v>
      </c>
      <c r="M207" s="34">
        <f>F207+L207</f>
        <v>38560.09921418671</v>
      </c>
      <c r="O207" s="4">
        <f>F207/M207</f>
        <v>0.7255681756230296</v>
      </c>
      <c r="P207" s="4">
        <f>L207/M207</f>
        <v>0.27443182437697056</v>
      </c>
    </row>
    <row r="208" spans="1:16" ht="12.75">
      <c r="A208" s="33">
        <v>1435</v>
      </c>
      <c r="B208" s="20"/>
      <c r="C208" s="34">
        <v>193.308</v>
      </c>
      <c r="D208" s="34">
        <v>4268.829</v>
      </c>
      <c r="E208" s="34">
        <f>C208+D208</f>
        <v>4462.137</v>
      </c>
      <c r="F208" s="34">
        <f>4.63433805988442*E208</f>
        <v>20679.051327518482</v>
      </c>
      <c r="H208" s="36"/>
      <c r="I208" s="34">
        <v>140.839</v>
      </c>
      <c r="J208" s="34"/>
      <c r="K208" s="34">
        <f>I208+J208</f>
        <v>140.839</v>
      </c>
      <c r="L208" s="34">
        <f>47.8800721021218*K208</f>
        <v>6743.381474790733</v>
      </c>
      <c r="M208" s="34">
        <f>F208+L208</f>
        <v>27422.432802309217</v>
      </c>
      <c r="O208" s="4">
        <f>F208/M208</f>
        <v>0.7540925152992669</v>
      </c>
      <c r="P208" s="4">
        <f>L208/M208</f>
        <v>0.245907484700733</v>
      </c>
    </row>
    <row r="209" spans="1:16" ht="12.75">
      <c r="A209" s="33">
        <v>1436</v>
      </c>
      <c r="B209" s="20"/>
      <c r="C209" s="34">
        <v>93.505</v>
      </c>
      <c r="D209" s="34">
        <v>2096.066</v>
      </c>
      <c r="E209" s="34">
        <f>C209+D209</f>
        <v>2189.571</v>
      </c>
      <c r="F209" s="34">
        <f>4.63433805988442*E209</f>
        <v>10147.212220119189</v>
      </c>
      <c r="H209" s="36"/>
      <c r="I209" s="34">
        <v>139.589</v>
      </c>
      <c r="J209" s="34"/>
      <c r="K209" s="34">
        <f>I209+J209</f>
        <v>139.589</v>
      </c>
      <c r="L209" s="34">
        <f>47.8800721021218*K209</f>
        <v>6683.53138466308</v>
      </c>
      <c r="M209" s="34">
        <f>F209+L209</f>
        <v>16830.74360478227</v>
      </c>
      <c r="O209" s="4">
        <f>F209/M209</f>
        <v>0.6028974392572869</v>
      </c>
      <c r="P209" s="4">
        <f>L209/M209</f>
        <v>0.397102560742713</v>
      </c>
    </row>
    <row r="210" spans="1:16" ht="12.75">
      <c r="A210" s="33">
        <v>1437</v>
      </c>
      <c r="B210" s="20"/>
      <c r="C210" s="34">
        <v>177.062</v>
      </c>
      <c r="D210" s="34"/>
      <c r="E210" s="34">
        <f>C210+D210</f>
        <v>177.062</v>
      </c>
      <c r="F210" s="34">
        <f>4.63433805988442*E210</f>
        <v>820.5651655592552</v>
      </c>
      <c r="H210" s="36"/>
      <c r="I210" s="34">
        <v>118.272</v>
      </c>
      <c r="J210" s="34"/>
      <c r="K210" s="34">
        <f>I210+J210</f>
        <v>118.272</v>
      </c>
      <c r="L210" s="34">
        <f>47.8800721021218*K210</f>
        <v>5662.87188766215</v>
      </c>
      <c r="M210" s="34">
        <f>F210+L210</f>
        <v>6483.437053221405</v>
      </c>
      <c r="O210" s="4">
        <f>F210/M210</f>
        <v>0.1265632964156787</v>
      </c>
      <c r="P210" s="4">
        <f>L210/M210</f>
        <v>0.8734367035843212</v>
      </c>
    </row>
    <row r="211" spans="1:16" ht="12.75">
      <c r="A211" s="33">
        <v>1438</v>
      </c>
      <c r="B211" s="20"/>
      <c r="C211" s="34">
        <v>478.264</v>
      </c>
      <c r="D211" s="34"/>
      <c r="E211" s="34">
        <f>C211+D211</f>
        <v>478.264</v>
      </c>
      <c r="F211" s="34">
        <f>4.63433805988442*E211</f>
        <v>2216.437057872562</v>
      </c>
      <c r="H211" s="36"/>
      <c r="I211" s="34">
        <v>109.682</v>
      </c>
      <c r="J211" s="34"/>
      <c r="K211" s="34">
        <f>I211+J211</f>
        <v>109.682</v>
      </c>
      <c r="L211" s="34">
        <f>47.8800721021218*K211</f>
        <v>5251.582068304923</v>
      </c>
      <c r="M211" s="34">
        <f>F211+L211</f>
        <v>7468.019126177485</v>
      </c>
      <c r="O211" s="4">
        <f>F211/M211</f>
        <v>0.2967904902791871</v>
      </c>
      <c r="P211" s="4">
        <f>L211/M211</f>
        <v>0.703209509720813</v>
      </c>
    </row>
    <row r="212" spans="1:16" ht="12.75">
      <c r="A212" s="33">
        <v>1439</v>
      </c>
      <c r="B212" s="20"/>
      <c r="C212" s="34">
        <v>1142.522</v>
      </c>
      <c r="D212" s="34">
        <v>126.13000000000001</v>
      </c>
      <c r="E212" s="34">
        <f>C212+D212</f>
        <v>1268.652</v>
      </c>
      <c r="F212" s="34">
        <f>4.63433805988442*E212</f>
        <v>5879.362248348489</v>
      </c>
      <c r="H212" s="36"/>
      <c r="I212" s="34">
        <v>156.324</v>
      </c>
      <c r="J212" s="34"/>
      <c r="K212" s="34">
        <f>I212+J212</f>
        <v>156.324</v>
      </c>
      <c r="L212" s="34">
        <f>47.8800721021218*K212</f>
        <v>7484.804391292089</v>
      </c>
      <c r="M212" s="34">
        <f>F212+L212</f>
        <v>13364.166639640578</v>
      </c>
      <c r="O212" s="4">
        <f>F212/M212</f>
        <v>0.43993482024604647</v>
      </c>
      <c r="P212" s="4">
        <f>L212/M212</f>
        <v>0.5600651797539535</v>
      </c>
    </row>
    <row r="213" spans="1:16" ht="12.75">
      <c r="A213" s="33">
        <v>1440</v>
      </c>
      <c r="B213" s="20"/>
      <c r="C213" s="34">
        <v>771.575</v>
      </c>
      <c r="D213" s="34"/>
      <c r="E213" s="34">
        <f>C213+D213</f>
        <v>771.575</v>
      </c>
      <c r="F213" s="34">
        <f>4.63433805988442*E213</f>
        <v>3575.7393885553215</v>
      </c>
      <c r="H213" s="36"/>
      <c r="I213" s="34">
        <v>137.504</v>
      </c>
      <c r="J213" s="34"/>
      <c r="K213" s="34">
        <f>I213+J213</f>
        <v>137.504</v>
      </c>
      <c r="L213" s="34">
        <f>47.8800721021218*K213</f>
        <v>6583.701434330155</v>
      </c>
      <c r="M213" s="34">
        <f>F213+L213</f>
        <v>10159.440822885477</v>
      </c>
      <c r="O213" s="4">
        <f>F213/M213</f>
        <v>0.3519622241905773</v>
      </c>
      <c r="P213" s="4">
        <f>L213/M213</f>
        <v>0.6480377758094227</v>
      </c>
    </row>
    <row r="214" spans="1:16" ht="12.75">
      <c r="A214" s="33">
        <v>1441</v>
      </c>
      <c r="B214" s="20"/>
      <c r="C214" s="34">
        <v>396.363</v>
      </c>
      <c r="D214" s="34"/>
      <c r="E214" s="34">
        <f>C214+D214</f>
        <v>396.363</v>
      </c>
      <c r="F214" s="34">
        <f>4.63433805988442*E214</f>
        <v>1836.8801364299682</v>
      </c>
      <c r="H214" s="36"/>
      <c r="I214" s="34">
        <v>116.686</v>
      </c>
      <c r="J214" s="34"/>
      <c r="K214" s="34">
        <f>I214+J214</f>
        <v>116.686</v>
      </c>
      <c r="L214" s="34">
        <f>47.8800721021218*K214</f>
        <v>5586.934093308185</v>
      </c>
      <c r="M214" s="34">
        <f>F214+L214</f>
        <v>7423.814229738153</v>
      </c>
      <c r="O214" s="4">
        <f>F214/M214</f>
        <v>0.24743077878644024</v>
      </c>
      <c r="P214" s="4">
        <f>L214/M214</f>
        <v>0.7525692212135597</v>
      </c>
    </row>
    <row r="215" spans="1:16" ht="12.75">
      <c r="A215" s="33">
        <v>1442</v>
      </c>
      <c r="B215" s="20"/>
      <c r="C215" s="34">
        <v>69.825</v>
      </c>
      <c r="D215" s="34"/>
      <c r="E215" s="34">
        <f>C215+D215</f>
        <v>69.825</v>
      </c>
      <c r="F215" s="34">
        <f>4.63433805988442*E215</f>
        <v>323.5926550314296</v>
      </c>
      <c r="H215" s="36"/>
      <c r="I215" s="34">
        <v>97.985</v>
      </c>
      <c r="J215" s="34"/>
      <c r="K215" s="34">
        <f>I215+J215</f>
        <v>97.985</v>
      </c>
      <c r="L215" s="34">
        <f>47.8800721021218*K215</f>
        <v>4691.528864926405</v>
      </c>
      <c r="M215" s="34">
        <f>F215+L215</f>
        <v>5015.121519957835</v>
      </c>
      <c r="O215" s="4">
        <f>F215/M215</f>
        <v>0.06452339265233802</v>
      </c>
      <c r="P215" s="4">
        <f>L215/M215</f>
        <v>0.9354766073476619</v>
      </c>
    </row>
    <row r="216" spans="1:16" ht="12.75">
      <c r="A216" s="33">
        <v>1443</v>
      </c>
      <c r="B216" s="20"/>
      <c r="C216" s="34">
        <v>69.825</v>
      </c>
      <c r="D216" s="34"/>
      <c r="E216" s="34">
        <f>C216+D216</f>
        <v>69.825</v>
      </c>
      <c r="F216" s="34">
        <f>4.63433805988442*E216</f>
        <v>323.5926550314296</v>
      </c>
      <c r="H216" s="36"/>
      <c r="I216" s="34">
        <v>97.985</v>
      </c>
      <c r="J216" s="34"/>
      <c r="K216" s="34">
        <f>I216+J216</f>
        <v>97.985</v>
      </c>
      <c r="L216" s="34">
        <f>47.8800721021218*K216</f>
        <v>4691.528864926405</v>
      </c>
      <c r="M216" s="34">
        <f>F216+L216</f>
        <v>5015.121519957835</v>
      </c>
      <c r="O216" s="4">
        <f>F216/M216</f>
        <v>0.06452339265233802</v>
      </c>
      <c r="P216" s="4">
        <f>L216/M216</f>
        <v>0.9354766073476619</v>
      </c>
    </row>
    <row r="217" spans="1:16" ht="12.75">
      <c r="A217" s="33">
        <v>1444</v>
      </c>
      <c r="B217" s="20"/>
      <c r="C217" s="34">
        <v>50.405</v>
      </c>
      <c r="D217" s="34"/>
      <c r="E217" s="34">
        <f>C217+D217</f>
        <v>50.405</v>
      </c>
      <c r="F217" s="34">
        <f>4.63433805988442*E217</f>
        <v>233.59380990847419</v>
      </c>
      <c r="H217" s="36"/>
      <c r="I217" s="34">
        <v>84.839</v>
      </c>
      <c r="J217" s="34"/>
      <c r="K217" s="34">
        <f>I217+J217</f>
        <v>84.839</v>
      </c>
      <c r="L217" s="34">
        <f>47.8800721021218*K217</f>
        <v>4062.0974370719114</v>
      </c>
      <c r="M217" s="34">
        <f>F217+L217</f>
        <v>4295.691246980386</v>
      </c>
      <c r="O217" s="4">
        <f>F217/M217</f>
        <v>0.05437863116272071</v>
      </c>
      <c r="P217" s="4">
        <f>L217/M217</f>
        <v>0.9456213688372793</v>
      </c>
    </row>
    <row r="218" spans="1:16" ht="12.75">
      <c r="A218" s="33">
        <v>1445</v>
      </c>
      <c r="B218" s="20"/>
      <c r="C218" s="34">
        <v>67.081</v>
      </c>
      <c r="D218" s="34"/>
      <c r="E218" s="34">
        <f>C218+D218</f>
        <v>67.081</v>
      </c>
      <c r="F218" s="34">
        <f>4.63433805988442*E218</f>
        <v>310.8760313951068</v>
      </c>
      <c r="H218" s="36"/>
      <c r="I218" s="34">
        <v>56.396</v>
      </c>
      <c r="J218" s="34"/>
      <c r="K218" s="34">
        <f>I218+J218</f>
        <v>56.396</v>
      </c>
      <c r="L218" s="34">
        <f>47.8800721021218*K218</f>
        <v>2700.2445462712612</v>
      </c>
      <c r="M218" s="34">
        <f>F218+L218</f>
        <v>3011.1205776663683</v>
      </c>
      <c r="O218" s="4">
        <f>F218/M218</f>
        <v>0.10324263787404923</v>
      </c>
      <c r="P218" s="4">
        <f>L218/M218</f>
        <v>0.8967573621259507</v>
      </c>
    </row>
    <row r="219" spans="1:16" ht="12.75">
      <c r="A219" s="33">
        <v>1446</v>
      </c>
      <c r="B219" s="20"/>
      <c r="C219" s="34">
        <v>439.566</v>
      </c>
      <c r="D219" s="34"/>
      <c r="E219" s="34">
        <f>C219+D219</f>
        <v>439.566</v>
      </c>
      <c r="F219" s="34">
        <f>4.63433805988442*E219</f>
        <v>2037.0974436311546</v>
      </c>
      <c r="H219" s="36"/>
      <c r="I219" s="34">
        <v>56.042</v>
      </c>
      <c r="J219" s="34"/>
      <c r="K219" s="34">
        <f>I219+J219</f>
        <v>56.042</v>
      </c>
      <c r="L219" s="34">
        <f>47.8800721021218*K219</f>
        <v>2683.29500074711</v>
      </c>
      <c r="M219" s="34">
        <f>F219+L219</f>
        <v>4720.392444378264</v>
      </c>
      <c r="O219" s="4">
        <f>F219/M219</f>
        <v>0.43155256001166364</v>
      </c>
      <c r="P219" s="4">
        <f>L219/M219</f>
        <v>0.5684474399883364</v>
      </c>
    </row>
    <row r="220" spans="1:16" ht="12.75">
      <c r="A220" s="33">
        <v>1447</v>
      </c>
      <c r="B220" s="20"/>
      <c r="C220" s="34">
        <v>398.999</v>
      </c>
      <c r="D220" s="34"/>
      <c r="E220" s="34">
        <f>C220+D220</f>
        <v>398.999</v>
      </c>
      <c r="F220" s="34">
        <f>4.63433805988442*E220</f>
        <v>1849.0962515558238</v>
      </c>
      <c r="H220" s="36"/>
      <c r="I220" s="34">
        <v>47.595</v>
      </c>
      <c r="J220" s="34"/>
      <c r="K220" s="34">
        <f>I220+J220</f>
        <v>47.595</v>
      </c>
      <c r="L220" s="34">
        <f>47.8800721021218*K220</f>
        <v>2278.8520317004873</v>
      </c>
      <c r="M220" s="34">
        <f>F220+L220</f>
        <v>4127.948283256311</v>
      </c>
      <c r="O220" s="4">
        <f>F220/M220</f>
        <v>0.44794559540779266</v>
      </c>
      <c r="P220" s="4">
        <f>L220/M220</f>
        <v>0.5520544045922073</v>
      </c>
    </row>
    <row r="221" spans="1:16" ht="12.75">
      <c r="A221" s="33">
        <v>1448</v>
      </c>
      <c r="B221" s="20"/>
      <c r="C221" s="34">
        <v>67.743</v>
      </c>
      <c r="D221" s="34"/>
      <c r="E221" s="34">
        <f>C221+D221</f>
        <v>67.743</v>
      </c>
      <c r="F221" s="34">
        <f>4.63433805988442*E221</f>
        <v>313.9439631907502</v>
      </c>
      <c r="H221" s="36"/>
      <c r="I221" s="34">
        <v>37.113</v>
      </c>
      <c r="J221" s="34"/>
      <c r="K221" s="34">
        <f>I221+J221</f>
        <v>37.113</v>
      </c>
      <c r="L221" s="34">
        <f>47.8800721021218*K221</f>
        <v>1776.9731159260464</v>
      </c>
      <c r="M221" s="34">
        <f>F221+L221</f>
        <v>2090.9170791167967</v>
      </c>
      <c r="O221" s="4">
        <f>F221/M221</f>
        <v>0.15014653920343896</v>
      </c>
      <c r="P221" s="4">
        <f>L221/M221</f>
        <v>0.849853460796561</v>
      </c>
    </row>
    <row r="222" spans="1:16" ht="12.75">
      <c r="A222" s="33">
        <v>1449</v>
      </c>
      <c r="B222" s="20"/>
      <c r="C222" s="34">
        <v>175.173</v>
      </c>
      <c r="D222" s="34"/>
      <c r="E222" s="34">
        <f>C222+D222</f>
        <v>175.173</v>
      </c>
      <c r="F222" s="34">
        <f>4.63433805988442*E222</f>
        <v>811.8109009641335</v>
      </c>
      <c r="H222" s="36"/>
      <c r="I222" s="34">
        <v>55.026</v>
      </c>
      <c r="J222" s="34"/>
      <c r="K222" s="34">
        <f>I222+J222</f>
        <v>55.026</v>
      </c>
      <c r="L222" s="34">
        <f>47.8800721021218*K222</f>
        <v>2634.6488474913544</v>
      </c>
      <c r="M222" s="34">
        <f>F222+L222</f>
        <v>3446.459748455488</v>
      </c>
      <c r="O222" s="4">
        <f>F222/M222</f>
        <v>0.23554921868097897</v>
      </c>
      <c r="P222" s="4">
        <f>L222/M222</f>
        <v>0.764450781319021</v>
      </c>
    </row>
    <row r="223" spans="1:16" ht="12.75">
      <c r="A223" s="33">
        <v>1450</v>
      </c>
      <c r="B223" s="20"/>
      <c r="C223" s="34">
        <v>1505.384</v>
      </c>
      <c r="D223" s="34"/>
      <c r="E223" s="34">
        <f>C223+D223</f>
        <v>1505.384</v>
      </c>
      <c r="F223" s="34">
        <f>4.63433805988442*E223</f>
        <v>6976.458365941047</v>
      </c>
      <c r="H223" s="36"/>
      <c r="I223" s="34">
        <v>125.905</v>
      </c>
      <c r="J223" s="34"/>
      <c r="K223" s="34">
        <f>I223+J223</f>
        <v>125.905</v>
      </c>
      <c r="L223" s="34">
        <f>47.8800721021218*K223</f>
        <v>6028.340478017645</v>
      </c>
      <c r="M223" s="34">
        <f>F223+L223</f>
        <v>13004.798843958692</v>
      </c>
      <c r="O223" s="4">
        <f>F223/M223</f>
        <v>0.5364526164264296</v>
      </c>
      <c r="P223" s="4">
        <f>L223/M223</f>
        <v>0.46354738357357045</v>
      </c>
    </row>
    <row r="224" spans="1:16" ht="12.75">
      <c r="A224" s="33">
        <v>1451</v>
      </c>
      <c r="B224" s="20"/>
      <c r="C224" s="34">
        <v>2290.029</v>
      </c>
      <c r="D224" s="34"/>
      <c r="E224" s="34">
        <f>C224+D224</f>
        <v>2290.029</v>
      </c>
      <c r="F224" s="34">
        <f>4.63433805988442*E224</f>
        <v>10612.768552939058</v>
      </c>
      <c r="H224" s="36"/>
      <c r="I224" s="34">
        <v>94.749</v>
      </c>
      <c r="J224" s="34"/>
      <c r="K224" s="34">
        <f>I224+J224</f>
        <v>94.749</v>
      </c>
      <c r="L224" s="34">
        <f>47.8800721021218*K224</f>
        <v>4536.588951603938</v>
      </c>
      <c r="M224" s="34">
        <f>F224+L224</f>
        <v>15149.357504542997</v>
      </c>
      <c r="O224" s="4">
        <f>F224/M224</f>
        <v>0.7005424850365104</v>
      </c>
      <c r="P224" s="4">
        <f>L224/M224</f>
        <v>0.2994575149634896</v>
      </c>
    </row>
    <row r="225" spans="1:16" ht="12.75">
      <c r="A225" s="33">
        <v>1452</v>
      </c>
      <c r="B225" s="20"/>
      <c r="C225" s="34">
        <v>1847.158</v>
      </c>
      <c r="D225" s="34"/>
      <c r="E225" s="34">
        <f>C225+D225</f>
        <v>1847.158</v>
      </c>
      <c r="F225" s="34">
        <f>4.63433805988442*E225</f>
        <v>8560.354622019984</v>
      </c>
      <c r="H225" s="36"/>
      <c r="I225" s="34">
        <v>94.181</v>
      </c>
      <c r="J225" s="34"/>
      <c r="K225" s="34">
        <f>I225+J225</f>
        <v>94.181</v>
      </c>
      <c r="L225" s="34">
        <f>47.8800721021218*K225</f>
        <v>4509.393070649933</v>
      </c>
      <c r="M225" s="34">
        <f>F225+L225</f>
        <v>13069.747692669916</v>
      </c>
      <c r="O225" s="4">
        <f>F225/M225</f>
        <v>0.654974741924131</v>
      </c>
      <c r="P225" s="4">
        <f>L225/M225</f>
        <v>0.34502525807586915</v>
      </c>
    </row>
    <row r="226" spans="1:16" ht="12.75">
      <c r="A226" s="33">
        <v>1453</v>
      </c>
      <c r="B226" s="20"/>
      <c r="C226" s="34">
        <v>1230.161</v>
      </c>
      <c r="D226" s="34"/>
      <c r="E226" s="34">
        <f>C226+D226</f>
        <v>1230.161</v>
      </c>
      <c r="F226" s="34">
        <f>4.63433805988442*E226</f>
        <v>5700.981942085478</v>
      </c>
      <c r="H226" s="36"/>
      <c r="I226" s="34">
        <v>67.147</v>
      </c>
      <c r="J226" s="34"/>
      <c r="K226" s="34">
        <f>I226+J226</f>
        <v>67.147</v>
      </c>
      <c r="L226" s="34">
        <f>47.8800721021218*K226</f>
        <v>3215.0032014411727</v>
      </c>
      <c r="M226" s="34">
        <f>F226+L226</f>
        <v>8915.98514352665</v>
      </c>
      <c r="O226" s="4">
        <f>F226/M226</f>
        <v>0.639411332602389</v>
      </c>
      <c r="P226" s="4">
        <f>L226/M226</f>
        <v>0.36058866739761103</v>
      </c>
    </row>
    <row r="227" spans="1:16" ht="12.75">
      <c r="A227" s="33">
        <v>1454</v>
      </c>
      <c r="B227" s="20"/>
      <c r="C227" s="34">
        <v>1020.099</v>
      </c>
      <c r="D227" s="34"/>
      <c r="E227" s="34">
        <f>C227+D227</f>
        <v>1020.099</v>
      </c>
      <c r="F227" s="34">
        <f>4.63433805988442*E227</f>
        <v>4727.483620550037</v>
      </c>
      <c r="H227" s="36"/>
      <c r="I227" s="34">
        <v>34.635</v>
      </c>
      <c r="J227" s="34"/>
      <c r="K227" s="34">
        <f>I227+J227</f>
        <v>34.635</v>
      </c>
      <c r="L227" s="34">
        <f>47.8800721021218*K227</f>
        <v>1658.3262972569885</v>
      </c>
      <c r="M227" s="34">
        <f>F227+L227</f>
        <v>6385.809917807025</v>
      </c>
      <c r="O227" s="4">
        <f>F227/M227</f>
        <v>0.7403107329216463</v>
      </c>
      <c r="P227" s="4">
        <f>L227/M227</f>
        <v>0.2596892670783537</v>
      </c>
    </row>
    <row r="228" spans="1:16" ht="12.75">
      <c r="A228" s="33">
        <v>1455</v>
      </c>
      <c r="B228" s="20"/>
      <c r="C228" s="34">
        <v>915.737</v>
      </c>
      <c r="D228" s="34"/>
      <c r="E228" s="34">
        <f>C228+D228</f>
        <v>915.737</v>
      </c>
      <c r="F228" s="34">
        <f>4.63433805988442*E228</f>
        <v>4243.8348319443785</v>
      </c>
      <c r="H228" s="36"/>
      <c r="I228" s="34">
        <v>26.918</v>
      </c>
      <c r="J228" s="34"/>
      <c r="K228" s="34">
        <f>I228+J228</f>
        <v>26.918</v>
      </c>
      <c r="L228" s="34">
        <f>47.8800721021218*K228</f>
        <v>1288.8357808449146</v>
      </c>
      <c r="M228" s="34">
        <f>F228+L228</f>
        <v>5532.670612789293</v>
      </c>
      <c r="O228" s="4">
        <f>F228/M228</f>
        <v>0.767049970792469</v>
      </c>
      <c r="P228" s="4">
        <f>L228/M228</f>
        <v>0.23295002920753105</v>
      </c>
    </row>
    <row r="229" spans="1:16" ht="12.75">
      <c r="A229" s="33">
        <v>1456</v>
      </c>
      <c r="B229" s="20"/>
      <c r="C229" s="34">
        <v>1177.013</v>
      </c>
      <c r="D229" s="34"/>
      <c r="E229" s="34">
        <f>C229+D229</f>
        <v>1177.013</v>
      </c>
      <c r="F229" s="34">
        <f>4.63433805988442*E229</f>
        <v>5454.67614287874</v>
      </c>
      <c r="H229" s="36"/>
      <c r="I229" s="34">
        <v>28.279</v>
      </c>
      <c r="J229" s="34"/>
      <c r="K229" s="34">
        <f>I229+J229</f>
        <v>28.279</v>
      </c>
      <c r="L229" s="34">
        <f>47.8800721021218*K229</f>
        <v>1354.0005589759023</v>
      </c>
      <c r="M229" s="34">
        <f>F229+L229</f>
        <v>6808.6767018546425</v>
      </c>
      <c r="O229" s="4">
        <f>F229/M229</f>
        <v>0.8011360183092435</v>
      </c>
      <c r="P229" s="4">
        <f>L229/M229</f>
        <v>0.19886398169075656</v>
      </c>
    </row>
    <row r="230" spans="1:16" ht="12.75">
      <c r="A230" s="33">
        <v>1457</v>
      </c>
      <c r="B230" s="20"/>
      <c r="C230" s="34">
        <v>1429.722</v>
      </c>
      <c r="D230" s="34"/>
      <c r="E230" s="34">
        <f>C230+D230</f>
        <v>1429.722</v>
      </c>
      <c r="F230" s="34">
        <f>4.63433805988442*E230</f>
        <v>6625.815079654072</v>
      </c>
      <c r="H230" s="36"/>
      <c r="I230" s="34">
        <v>29.595</v>
      </c>
      <c r="J230" s="34"/>
      <c r="K230" s="34">
        <f>I230+J230</f>
        <v>29.595</v>
      </c>
      <c r="L230" s="34">
        <f>47.8800721021218*K230</f>
        <v>1417.0107338622947</v>
      </c>
      <c r="M230" s="34">
        <f>F230+L230</f>
        <v>8042.825813516367</v>
      </c>
      <c r="O230" s="4">
        <f>F230/M230</f>
        <v>0.8238168068390915</v>
      </c>
      <c r="P230" s="4">
        <f>L230/M230</f>
        <v>0.17618319316090844</v>
      </c>
    </row>
    <row r="231" spans="1:16" ht="12.75">
      <c r="A231" s="33">
        <v>1458</v>
      </c>
      <c r="B231" s="20"/>
      <c r="C231" s="34">
        <v>1184.851</v>
      </c>
      <c r="D231" s="34"/>
      <c r="E231" s="34">
        <f>C231+D231</f>
        <v>1184.851</v>
      </c>
      <c r="F231" s="34">
        <f>4.63433805988442*E231</f>
        <v>5491.000084592115</v>
      </c>
      <c r="H231" s="36"/>
      <c r="I231" s="34">
        <v>29.53</v>
      </c>
      <c r="J231" s="34"/>
      <c r="K231" s="34">
        <f>I231+J231</f>
        <v>29.53</v>
      </c>
      <c r="L231" s="34">
        <f>47.8800721021218*K231</f>
        <v>1413.898529175657</v>
      </c>
      <c r="M231" s="34">
        <f>F231+L231</f>
        <v>6904.898613767772</v>
      </c>
      <c r="O231" s="4">
        <f>F231/M231</f>
        <v>0.7952325431170756</v>
      </c>
      <c r="P231" s="4">
        <f>L231/M231</f>
        <v>0.20476745688292441</v>
      </c>
    </row>
    <row r="232" spans="1:16" ht="12.75">
      <c r="A232" s="33">
        <v>1459</v>
      </c>
      <c r="B232" s="20"/>
      <c r="C232" s="34">
        <v>1004.405</v>
      </c>
      <c r="D232" s="34"/>
      <c r="E232" s="34">
        <f>C232+D232</f>
        <v>1004.405</v>
      </c>
      <c r="F232" s="34">
        <f>4.63433805988442*E232</f>
        <v>4654.752319038211</v>
      </c>
      <c r="H232" s="36"/>
      <c r="I232" s="34">
        <v>6.775</v>
      </c>
      <c r="J232" s="34"/>
      <c r="K232" s="34">
        <f>I232+J232</f>
        <v>6.775</v>
      </c>
      <c r="L232" s="34">
        <f>47.8800721021218*K232</f>
        <v>324.3874884918752</v>
      </c>
      <c r="M232" s="34">
        <f>F232+L232</f>
        <v>4979.139807530086</v>
      </c>
      <c r="O232" s="4">
        <f>F232/M232</f>
        <v>0.9348506969012408</v>
      </c>
      <c r="P232" s="4">
        <f>L232/M232</f>
        <v>0.06514930309875923</v>
      </c>
    </row>
    <row r="233" spans="1:16" ht="12.75">
      <c r="A233" s="33">
        <v>1460</v>
      </c>
      <c r="B233" s="20"/>
      <c r="C233" s="34">
        <v>2279.479</v>
      </c>
      <c r="D233" s="34"/>
      <c r="E233" s="34">
        <f>C233+D233</f>
        <v>2279.479</v>
      </c>
      <c r="F233" s="34">
        <f>4.63433805988442*E233</f>
        <v>10563.876286407276</v>
      </c>
      <c r="H233" s="36"/>
      <c r="I233" s="34">
        <v>39.414</v>
      </c>
      <c r="J233" s="34"/>
      <c r="K233" s="34">
        <f>I233+J233</f>
        <v>39.414</v>
      </c>
      <c r="L233" s="34">
        <f>47.8800721021218*K233</f>
        <v>1887.1451618330286</v>
      </c>
      <c r="M233" s="34">
        <f>F233+L233</f>
        <v>12451.021448240304</v>
      </c>
      <c r="O233" s="4">
        <f>F233/M233</f>
        <v>0.8484345103991658</v>
      </c>
      <c r="P233" s="4">
        <f>L233/M233</f>
        <v>0.15156548960083413</v>
      </c>
    </row>
    <row r="234" spans="1:16" ht="12.75">
      <c r="A234" s="33">
        <v>1461</v>
      </c>
      <c r="B234" s="20"/>
      <c r="C234" s="34">
        <v>2121.908</v>
      </c>
      <c r="D234" s="34"/>
      <c r="E234" s="34">
        <f>C234+D234</f>
        <v>2121.908</v>
      </c>
      <c r="F234" s="34">
        <f>4.63433805988442*E234</f>
        <v>9833.639003973229</v>
      </c>
      <c r="H234" s="36"/>
      <c r="I234" s="34">
        <v>45.786</v>
      </c>
      <c r="J234" s="34"/>
      <c r="K234" s="34">
        <f>I234+J234</f>
        <v>45.786</v>
      </c>
      <c r="L234" s="34">
        <f>47.8800721021218*K234</f>
        <v>2192.236981267749</v>
      </c>
      <c r="M234" s="34">
        <f>F234+L234</f>
        <v>12025.875985240978</v>
      </c>
      <c r="O234" s="4">
        <f>F234/M234</f>
        <v>0.8177066698543856</v>
      </c>
      <c r="P234" s="4">
        <f>L234/M234</f>
        <v>0.18229333014561436</v>
      </c>
    </row>
    <row r="235" spans="1:16" ht="12.75">
      <c r="A235" s="33">
        <v>1462</v>
      </c>
      <c r="B235" s="20"/>
      <c r="C235" s="34">
        <v>1964.338</v>
      </c>
      <c r="D235" s="34"/>
      <c r="E235" s="34">
        <f>C235+D235</f>
        <v>1964.338</v>
      </c>
      <c r="F235" s="34">
        <f>4.63433805988442*E235</f>
        <v>9103.406355877241</v>
      </c>
      <c r="H235" s="36"/>
      <c r="I235" s="34">
        <v>52.158</v>
      </c>
      <c r="J235" s="34"/>
      <c r="K235" s="34">
        <f>I235+J235</f>
        <v>52.158</v>
      </c>
      <c r="L235" s="34">
        <f>47.8800721021218*K235</f>
        <v>2497.328800702469</v>
      </c>
      <c r="M235" s="34">
        <f>F235+L235</f>
        <v>11600.73515657971</v>
      </c>
      <c r="O235" s="4">
        <f>F235/M235</f>
        <v>0.7847266774911215</v>
      </c>
      <c r="P235" s="4">
        <f>L235/M235</f>
        <v>0.21527332250887848</v>
      </c>
    </row>
    <row r="236" spans="1:16" ht="12.75">
      <c r="A236" s="33">
        <v>1463</v>
      </c>
      <c r="B236" s="20"/>
      <c r="C236" s="34">
        <v>1964.338</v>
      </c>
      <c r="D236" s="34"/>
      <c r="E236" s="34">
        <f>C236+D236</f>
        <v>1964.338</v>
      </c>
      <c r="F236" s="34">
        <f>4.63433805988442*E236</f>
        <v>9103.406355877241</v>
      </c>
      <c r="H236" s="36"/>
      <c r="I236" s="34">
        <v>52.158</v>
      </c>
      <c r="J236" s="34"/>
      <c r="K236" s="34">
        <f>I236+J236</f>
        <v>52.158</v>
      </c>
      <c r="L236" s="34">
        <f>47.8800721021218*K236</f>
        <v>2497.328800702469</v>
      </c>
      <c r="M236" s="34">
        <f>F236+L236</f>
        <v>11600.73515657971</v>
      </c>
      <c r="O236" s="4">
        <f>F236/M236</f>
        <v>0.7847266774911215</v>
      </c>
      <c r="P236" s="4">
        <f>L236/M236</f>
        <v>0.21527332250887848</v>
      </c>
    </row>
    <row r="237" spans="1:16" ht="12.75">
      <c r="A237" s="33">
        <v>1464</v>
      </c>
      <c r="B237" s="20"/>
      <c r="C237" s="34">
        <v>2517.054</v>
      </c>
      <c r="D237" s="34"/>
      <c r="E237" s="34">
        <f>C237+D237</f>
        <v>2517.054</v>
      </c>
      <c r="F237" s="34">
        <v>12494.901</v>
      </c>
      <c r="H237" s="36"/>
      <c r="I237" s="34">
        <v>220.325</v>
      </c>
      <c r="J237" s="34"/>
      <c r="K237" s="34">
        <f>I237+J237</f>
        <v>220.325</v>
      </c>
      <c r="L237" s="34">
        <f>(137.354*16.6666666667)+(495.598*20.83333333333)</f>
        <v>12614.191666669594</v>
      </c>
      <c r="M237" s="34">
        <f>F237+L237</f>
        <v>25109.092666669596</v>
      </c>
      <c r="O237" s="4">
        <f>F237/M237</f>
        <v>0.49762455242303627</v>
      </c>
      <c r="P237" s="4">
        <f>L237/M237</f>
        <v>0.5023754475769636</v>
      </c>
    </row>
    <row r="238" spans="1:16" ht="12.75">
      <c r="A238" s="33">
        <v>1465</v>
      </c>
      <c r="B238" s="20"/>
      <c r="C238" s="34">
        <v>8596.937</v>
      </c>
      <c r="D238" s="34"/>
      <c r="E238" s="34">
        <f>C238+D238</f>
        <v>8596.937</v>
      </c>
      <c r="F238" s="34">
        <f>5.79292257485553*E238</f>
        <v>49801.39042191078</v>
      </c>
      <c r="H238" s="36"/>
      <c r="I238" s="34">
        <v>2070.165</v>
      </c>
      <c r="J238" s="34"/>
      <c r="K238" s="34">
        <f>I238+J238</f>
        <v>2070.165</v>
      </c>
      <c r="L238" s="34">
        <f>(2973.59*20.8333333333333)+(2973.59*22.5)</f>
        <v>128855.56666666668</v>
      </c>
      <c r="M238" s="34">
        <f>F238+L238</f>
        <v>178656.95708857744</v>
      </c>
      <c r="O238" s="4">
        <f>F238/M238</f>
        <v>0.27875427430021343</v>
      </c>
      <c r="P238" s="4">
        <f>L238/M238</f>
        <v>0.7212457256997866</v>
      </c>
    </row>
    <row r="239" spans="1:16" ht="12.75">
      <c r="A239" s="33">
        <v>1466</v>
      </c>
      <c r="B239" s="20"/>
      <c r="C239" s="34">
        <v>8596.937</v>
      </c>
      <c r="D239" s="34"/>
      <c r="E239" s="34">
        <f>C239+D239</f>
        <v>8596.937</v>
      </c>
      <c r="F239" s="34">
        <f>5.79292257485553*E239</f>
        <v>49801.39042191078</v>
      </c>
      <c r="H239" s="36"/>
      <c r="I239" s="34">
        <v>2070.165</v>
      </c>
      <c r="J239" s="34"/>
      <c r="K239" s="34">
        <f>I239+J239</f>
        <v>2070.165</v>
      </c>
      <c r="L239" s="34">
        <f>64.6380973378644*K239</f>
        <v>133811.52677544006</v>
      </c>
      <c r="M239" s="34">
        <f>F239+L239</f>
        <v>183612.91719735082</v>
      </c>
      <c r="O239" s="4">
        <f>F239/M239</f>
        <v>0.2712303207316469</v>
      </c>
      <c r="P239" s="4">
        <f>L239/M239</f>
        <v>0.7287696792683532</v>
      </c>
    </row>
    <row r="240" spans="1:16" ht="12.75">
      <c r="A240" s="33">
        <v>1467</v>
      </c>
      <c r="B240" s="20"/>
      <c r="C240" s="34">
        <v>5617</v>
      </c>
      <c r="D240" s="34"/>
      <c r="E240" s="34">
        <f>C240+D240</f>
        <v>5617</v>
      </c>
      <c r="F240" s="34">
        <f>5.79292257485553*E240</f>
        <v>32538.846102963515</v>
      </c>
      <c r="H240" s="36"/>
      <c r="I240" s="34">
        <v>1390.92</v>
      </c>
      <c r="J240" s="34"/>
      <c r="K240" s="34">
        <f>I240+J240</f>
        <v>1390.92</v>
      </c>
      <c r="L240" s="34">
        <f>64.6380973378644*K240</f>
        <v>89906.42234918235</v>
      </c>
      <c r="M240" s="34">
        <f>F240+L240</f>
        <v>122445.26845214586</v>
      </c>
      <c r="O240" s="4">
        <f>F240/M240</f>
        <v>0.265741963852857</v>
      </c>
      <c r="P240" s="4">
        <f>L240/M240</f>
        <v>0.734258036147143</v>
      </c>
    </row>
    <row r="241" spans="1:16" ht="12.75">
      <c r="A241" s="33">
        <v>1468</v>
      </c>
      <c r="B241" s="20"/>
      <c r="C241" s="34">
        <v>5617</v>
      </c>
      <c r="D241" s="34"/>
      <c r="E241" s="34">
        <f>C241+D241</f>
        <v>5617</v>
      </c>
      <c r="F241" s="34">
        <f>5.79292257485553*E241</f>
        <v>32538.846102963515</v>
      </c>
      <c r="H241" s="36"/>
      <c r="I241" s="34">
        <v>1390.92</v>
      </c>
      <c r="J241" s="34"/>
      <c r="K241" s="34">
        <f>I241+J241</f>
        <v>1390.92</v>
      </c>
      <c r="L241" s="34">
        <f>64.6380973378644*K241</f>
        <v>89906.42234918235</v>
      </c>
      <c r="M241" s="34">
        <f>F241+L241</f>
        <v>122445.26845214586</v>
      </c>
      <c r="O241" s="4">
        <f>F241/M241</f>
        <v>0.265741963852857</v>
      </c>
      <c r="P241" s="4">
        <f>L241/M241</f>
        <v>0.734258036147143</v>
      </c>
    </row>
    <row r="242" spans="1:16" ht="12.75">
      <c r="A242" s="33">
        <v>1469</v>
      </c>
      <c r="B242" s="20"/>
      <c r="C242" s="34">
        <v>2637.108</v>
      </c>
      <c r="D242" s="34"/>
      <c r="E242" s="34">
        <f>C242+D242</f>
        <v>2637.108</v>
      </c>
      <c r="F242" s="34">
        <f>5.79292257485553*E242</f>
        <v>15276.562465532119</v>
      </c>
      <c r="H242" s="36"/>
      <c r="I242" s="34">
        <v>711.674</v>
      </c>
      <c r="J242" s="34"/>
      <c r="K242" s="34">
        <f>I242+J242</f>
        <v>711.674</v>
      </c>
      <c r="L242" s="34">
        <f>64.6380973378644*K242</f>
        <v>46001.253284827304</v>
      </c>
      <c r="M242" s="34">
        <f>F242+L242</f>
        <v>61277.81575035943</v>
      </c>
      <c r="O242" s="4">
        <f>F242/M242</f>
        <v>0.24930004894050933</v>
      </c>
      <c r="P242" s="4">
        <f>L242/M242</f>
        <v>0.7506999510594906</v>
      </c>
    </row>
    <row r="243" spans="1:16" ht="12.75">
      <c r="A243" s="33">
        <v>1470</v>
      </c>
      <c r="B243" s="20"/>
      <c r="C243" s="34">
        <v>2610.567</v>
      </c>
      <c r="D243" s="34">
        <v>761.84</v>
      </c>
      <c r="E243" s="34">
        <f>C243+D243</f>
        <v>3372.407</v>
      </c>
      <c r="F243" s="34">
        <f>5.79292257485553*E243</f>
        <v>19536.092641900814</v>
      </c>
      <c r="H243" s="36"/>
      <c r="I243" s="34">
        <v>796.956</v>
      </c>
      <c r="J243" s="34">
        <v>80.148</v>
      </c>
      <c r="K243" s="34">
        <f>I243+J243</f>
        <v>877.104</v>
      </c>
      <c r="L243" s="34">
        <f>64.6380973378644*K243</f>
        <v>56694.33372743022</v>
      </c>
      <c r="M243" s="34">
        <f>F243+L243</f>
        <v>76230.42636933103</v>
      </c>
      <c r="O243" s="4">
        <f>F243/M243</f>
        <v>0.2562768381649845</v>
      </c>
      <c r="P243" s="4">
        <f>L243/M243</f>
        <v>0.7437231618350155</v>
      </c>
    </row>
    <row r="244" spans="1:16" ht="12.75">
      <c r="A244" s="33">
        <v>1471</v>
      </c>
      <c r="B244" s="20"/>
      <c r="C244" s="34">
        <v>1213.064</v>
      </c>
      <c r="D244" s="34">
        <v>113.99</v>
      </c>
      <c r="E244" s="34">
        <f>C244+D244</f>
        <v>1327.054</v>
      </c>
      <c r="F244" s="34">
        <f>5.79292257485553*E244</f>
        <v>7687.521074652332</v>
      </c>
      <c r="H244" s="36"/>
      <c r="I244" s="34">
        <v>272.06</v>
      </c>
      <c r="J244" s="34">
        <v>16.745</v>
      </c>
      <c r="K244" s="34">
        <f>I244+J244</f>
        <v>288.805</v>
      </c>
      <c r="L244" s="34">
        <f>64.6380973378644*K244</f>
        <v>18667.805701661928</v>
      </c>
      <c r="M244" s="34">
        <f>F244+L244</f>
        <v>26355.326776314258</v>
      </c>
      <c r="O244" s="4">
        <f>F244/M244</f>
        <v>0.2916875643356154</v>
      </c>
      <c r="P244" s="4">
        <f>L244/M244</f>
        <v>0.7083124356643847</v>
      </c>
    </row>
    <row r="245" spans="1:16" ht="12.75">
      <c r="A245" s="33">
        <v>1472</v>
      </c>
      <c r="B245" s="20"/>
      <c r="C245" s="34">
        <v>2632.327</v>
      </c>
      <c r="D245" s="34">
        <v>204.087</v>
      </c>
      <c r="E245" s="34">
        <f>C245+D245</f>
        <v>2836.414</v>
      </c>
      <c r="F245" s="34">
        <f>5.79292257485553*E245</f>
        <v>16431.126692236274</v>
      </c>
      <c r="H245" s="36"/>
      <c r="I245" s="34">
        <v>590.365</v>
      </c>
      <c r="J245" s="34">
        <v>30.295</v>
      </c>
      <c r="K245" s="34">
        <f>I245+J245</f>
        <v>620.66</v>
      </c>
      <c r="L245" s="34">
        <f>64.6380973378644*K245</f>
        <v>40118.28149371891</v>
      </c>
      <c r="M245" s="34">
        <f>F245+L245</f>
        <v>56549.40818595518</v>
      </c>
      <c r="O245" s="4">
        <f>F245/M245</f>
        <v>0.29056231036414576</v>
      </c>
      <c r="P245" s="4">
        <f>L245/M245</f>
        <v>0.7094376896358543</v>
      </c>
    </row>
    <row r="246" spans="1:16" ht="12.75">
      <c r="A246" s="33">
        <v>1473</v>
      </c>
      <c r="B246" s="20"/>
      <c r="C246" s="34">
        <v>2632.327</v>
      </c>
      <c r="D246" s="34">
        <v>17.607</v>
      </c>
      <c r="E246" s="34">
        <f>C246+D246</f>
        <v>2649.934</v>
      </c>
      <c r="F246" s="34">
        <f>5.79292257485553*E246</f>
        <v>15350.862490477215</v>
      </c>
      <c r="H246" s="36"/>
      <c r="I246" s="34">
        <v>590.365</v>
      </c>
      <c r="J246" s="34">
        <v>4.262</v>
      </c>
      <c r="K246" s="34">
        <f>I246+J246</f>
        <v>594.627</v>
      </c>
      <c r="L246" s="34">
        <f>64.6380973378644*K246</f>
        <v>38435.557905722286</v>
      </c>
      <c r="M246" s="34">
        <f>F246+L246</f>
        <v>53786.4203961995</v>
      </c>
      <c r="O246" s="4">
        <f>F246/M246</f>
        <v>0.28540405510164596</v>
      </c>
      <c r="P246" s="4">
        <f>L246/M246</f>
        <v>0.7145959448983541</v>
      </c>
    </row>
    <row r="247" spans="1:16" ht="12.75">
      <c r="A247" s="33">
        <v>1474</v>
      </c>
      <c r="B247" s="20"/>
      <c r="C247" s="34">
        <v>2632.327</v>
      </c>
      <c r="D247" s="34">
        <v>17.607</v>
      </c>
      <c r="E247" s="34">
        <f>C247+D247</f>
        <v>2649.934</v>
      </c>
      <c r="F247" s="34">
        <f>5.79292257485553*E247</f>
        <v>15350.862490477215</v>
      </c>
      <c r="H247" s="36"/>
      <c r="I247" s="34">
        <v>590.365</v>
      </c>
      <c r="J247" s="34">
        <v>4.262</v>
      </c>
      <c r="K247" s="34">
        <f>I247+J247</f>
        <v>594.627</v>
      </c>
      <c r="L247" s="34">
        <f>64.6380973378644*K247</f>
        <v>38435.557905722286</v>
      </c>
      <c r="M247" s="34">
        <f>F247+L247</f>
        <v>53786.4203961995</v>
      </c>
      <c r="O247" s="4">
        <f>F247/M247</f>
        <v>0.28540405510164596</v>
      </c>
      <c r="P247" s="4">
        <f>L247/M247</f>
        <v>0.7145959448983541</v>
      </c>
    </row>
    <row r="248" spans="1:16" ht="12.75">
      <c r="A248" s="33">
        <v>1475</v>
      </c>
      <c r="B248" s="20"/>
      <c r="C248" s="34">
        <v>2632.327</v>
      </c>
      <c r="D248" s="34">
        <v>17.607</v>
      </c>
      <c r="E248" s="34">
        <f>C248+D248</f>
        <v>2649.934</v>
      </c>
      <c r="F248" s="34">
        <f>5.79292257485553*E248</f>
        <v>15350.862490477215</v>
      </c>
      <c r="H248" s="36"/>
      <c r="I248" s="34">
        <v>590.365</v>
      </c>
      <c r="J248" s="34">
        <v>4.262</v>
      </c>
      <c r="K248" s="34">
        <f>I248+J248</f>
        <v>594.627</v>
      </c>
      <c r="L248" s="34">
        <f>64.6380973378644*K248</f>
        <v>38435.557905722286</v>
      </c>
      <c r="M248" s="34">
        <f>F248+L248</f>
        <v>53786.4203961995</v>
      </c>
      <c r="O248" s="4">
        <f>F248/M248</f>
        <v>0.28540405510164596</v>
      </c>
      <c r="P248" s="4">
        <f>L248/M248</f>
        <v>0.7145959448983541</v>
      </c>
    </row>
    <row r="249" spans="1:16" ht="12.75">
      <c r="A249" s="33">
        <v>1476</v>
      </c>
      <c r="B249" s="20"/>
      <c r="C249" s="34">
        <v>1012.598</v>
      </c>
      <c r="D249" s="34"/>
      <c r="E249" s="34">
        <f>C249+D249</f>
        <v>1012.598</v>
      </c>
      <c r="F249" s="34">
        <f>5.79292257485553*E249</f>
        <v>5865.90181345356</v>
      </c>
      <c r="H249" s="36"/>
      <c r="I249" s="34">
        <v>336.672</v>
      </c>
      <c r="J249" s="34"/>
      <c r="K249" s="34">
        <f>I249+J249</f>
        <v>336.672</v>
      </c>
      <c r="L249" s="34">
        <f>64.6380973378644*K249</f>
        <v>21761.837506933483</v>
      </c>
      <c r="M249" s="34">
        <f>F249+L249</f>
        <v>27627.739320387045</v>
      </c>
      <c r="O249" s="4">
        <f>F249/M249</f>
        <v>0.21231928336333322</v>
      </c>
      <c r="P249" s="4">
        <f>L249/M249</f>
        <v>0.7876807166366667</v>
      </c>
    </row>
    <row r="250" spans="1:16" ht="12.75">
      <c r="A250" s="33">
        <v>1477</v>
      </c>
      <c r="B250" s="20"/>
      <c r="C250" s="34">
        <v>973.15</v>
      </c>
      <c r="D250" s="34"/>
      <c r="E250" s="34">
        <f>C250+D250</f>
        <v>973.15</v>
      </c>
      <c r="F250" s="34">
        <f>5.79292257485553*E250</f>
        <v>5637.382603720659</v>
      </c>
      <c r="H250" s="36"/>
      <c r="I250" s="34">
        <v>447.84</v>
      </c>
      <c r="J250" s="34"/>
      <c r="K250" s="34">
        <f>I250+J250</f>
        <v>447.84</v>
      </c>
      <c r="L250" s="34">
        <f>64.6380973378644*K250</f>
        <v>28947.52551178919</v>
      </c>
      <c r="M250" s="34">
        <f>F250+L250</f>
        <v>34584.90811550985</v>
      </c>
      <c r="O250" s="4">
        <f>F250/M250</f>
        <v>0.16300123119866075</v>
      </c>
      <c r="P250" s="4">
        <f>L250/M250</f>
        <v>0.8369987688013393</v>
      </c>
    </row>
    <row r="251" spans="1:16" ht="12.75">
      <c r="A251" s="33">
        <v>1478</v>
      </c>
      <c r="B251" s="20"/>
      <c r="C251" s="34">
        <v>677.389</v>
      </c>
      <c r="D251" s="34"/>
      <c r="E251" s="34">
        <f>C251+D251</f>
        <v>677.389</v>
      </c>
      <c r="F251" s="34">
        <f>5.79292257485553*E251</f>
        <v>3924.062030058813</v>
      </c>
      <c r="H251" s="36"/>
      <c r="I251" s="34">
        <v>390.24</v>
      </c>
      <c r="J251" s="34"/>
      <c r="K251" s="34">
        <f>I251+J251</f>
        <v>390.24</v>
      </c>
      <c r="L251" s="34">
        <f>64.6380973378644*K251</f>
        <v>25224.3711051282</v>
      </c>
      <c r="M251" s="34">
        <f>F251+L251</f>
        <v>29148.433135187013</v>
      </c>
      <c r="O251" s="4">
        <f>F251/M251</f>
        <v>0.134623429391881</v>
      </c>
      <c r="P251" s="4">
        <f>L251/M251</f>
        <v>0.865376570608119</v>
      </c>
    </row>
    <row r="252" spans="1:16" ht="12.75">
      <c r="A252" s="33">
        <v>1479</v>
      </c>
      <c r="B252" s="20"/>
      <c r="C252" s="34">
        <v>905.659</v>
      </c>
      <c r="D252" s="34"/>
      <c r="E252" s="34">
        <f>C252+D252</f>
        <v>905.659</v>
      </c>
      <c r="F252" s="34">
        <f>5.79292257485553*E252</f>
        <v>5246.412466221084</v>
      </c>
      <c r="H252" s="36"/>
      <c r="I252" s="34">
        <v>385.029</v>
      </c>
      <c r="J252" s="34"/>
      <c r="K252" s="34">
        <f>I252+J252</f>
        <v>385.029</v>
      </c>
      <c r="L252" s="34">
        <f>64.6380973378644*K252</f>
        <v>24887.54197990059</v>
      </c>
      <c r="M252" s="34">
        <f>F252+L252</f>
        <v>30133.954446121676</v>
      </c>
      <c r="O252" s="4">
        <f>F252/M252</f>
        <v>0.1741030197547243</v>
      </c>
      <c r="P252" s="4">
        <f>L252/M252</f>
        <v>0.8258969802452757</v>
      </c>
    </row>
    <row r="253" spans="1:16" ht="12.75">
      <c r="A253" s="33">
        <v>1480</v>
      </c>
      <c r="B253" s="20"/>
      <c r="C253" s="34">
        <v>604.617</v>
      </c>
      <c r="D253" s="34"/>
      <c r="E253" s="34">
        <f>C253+D253</f>
        <v>604.617</v>
      </c>
      <c r="F253" s="34">
        <f>5.79292257485553*E253</f>
        <v>3502.499468441426</v>
      </c>
      <c r="H253" s="36"/>
      <c r="I253" s="34">
        <v>462.604</v>
      </c>
      <c r="J253" s="34"/>
      <c r="K253" s="34">
        <f>I253+J253</f>
        <v>462.604</v>
      </c>
      <c r="L253" s="34">
        <f>64.6380973378644*K253</f>
        <v>29901.84238088542</v>
      </c>
      <c r="M253" s="34">
        <f>F253+L253</f>
        <v>33404.34184932685</v>
      </c>
      <c r="O253" s="4">
        <f>F253/M253</f>
        <v>0.10485162330812416</v>
      </c>
      <c r="P253" s="4">
        <f>L253/M253</f>
        <v>0.8951483766918759</v>
      </c>
    </row>
    <row r="254" spans="1:16" ht="12.75">
      <c r="A254" s="33">
        <v>1481</v>
      </c>
      <c r="B254" s="20"/>
      <c r="C254" s="34">
        <v>315.889</v>
      </c>
      <c r="D254" s="34"/>
      <c r="E254" s="34">
        <f>C254+D254</f>
        <v>315.889</v>
      </c>
      <c r="F254" s="34">
        <f>5.79292257485553*E254</f>
        <v>1829.9205192485385</v>
      </c>
      <c r="H254" s="36"/>
      <c r="I254" s="34">
        <v>276.385</v>
      </c>
      <c r="J254" s="34"/>
      <c r="K254" s="34">
        <f>I254+J254</f>
        <v>276.385</v>
      </c>
      <c r="L254" s="34">
        <f>64.6380973378644*K254</f>
        <v>17865.00053272565</v>
      </c>
      <c r="M254" s="34">
        <f>F254+L254</f>
        <v>19694.92105197419</v>
      </c>
      <c r="O254" s="4">
        <f>F254/M254</f>
        <v>0.0929133208718859</v>
      </c>
      <c r="P254" s="4">
        <f>L254/M254</f>
        <v>0.9070866791281141</v>
      </c>
    </row>
    <row r="255" spans="1:16" ht="12.75">
      <c r="A255" s="33">
        <v>1482</v>
      </c>
      <c r="B255" s="20"/>
      <c r="C255" s="34">
        <v>553.855</v>
      </c>
      <c r="D255" s="34"/>
      <c r="E255" s="34">
        <f>C255+D255</f>
        <v>553.855</v>
      </c>
      <c r="F255" s="34">
        <f>5.79292257485553*E255</f>
        <v>3208.4391326966097</v>
      </c>
      <c r="H255" s="36"/>
      <c r="I255" s="34">
        <v>267.335</v>
      </c>
      <c r="J255" s="34"/>
      <c r="K255" s="34">
        <f>I255+J255</f>
        <v>267.335</v>
      </c>
      <c r="L255" s="34">
        <f>64.6380973378644*K255</f>
        <v>17280.025751817975</v>
      </c>
      <c r="M255" s="34">
        <f>F255+L255</f>
        <v>20488.464884514586</v>
      </c>
      <c r="O255" s="4">
        <f>F255/M255</f>
        <v>0.15659734151784033</v>
      </c>
      <c r="P255" s="4">
        <f>L255/M255</f>
        <v>0.8434026584821597</v>
      </c>
    </row>
    <row r="256" spans="1:16" ht="12.75">
      <c r="A256" s="33">
        <v>1483</v>
      </c>
      <c r="B256" s="20"/>
      <c r="C256" s="34">
        <v>1004.647</v>
      </c>
      <c r="D256" s="34"/>
      <c r="E256" s="34">
        <f>C256+D256</f>
        <v>1004.647</v>
      </c>
      <c r="F256" s="34">
        <f>5.79292257485553*E256</f>
        <v>5819.842286060884</v>
      </c>
      <c r="H256" s="36"/>
      <c r="I256" s="34">
        <v>162.414</v>
      </c>
      <c r="J256" s="34"/>
      <c r="K256" s="34">
        <f>I256+J256</f>
        <v>162.414</v>
      </c>
      <c r="L256" s="34">
        <f>64.6380973378644*K256</f>
        <v>10498.131941031907</v>
      </c>
      <c r="M256" s="34">
        <f>F256+L256</f>
        <v>16317.97422709279</v>
      </c>
      <c r="O256" s="4">
        <f>F256/M256</f>
        <v>0.3566522538317397</v>
      </c>
      <c r="P256" s="4">
        <f>L256/M256</f>
        <v>0.6433477461682603</v>
      </c>
    </row>
    <row r="257" spans="1:16" ht="12.75">
      <c r="A257" s="33">
        <v>1484</v>
      </c>
      <c r="B257" s="20"/>
      <c r="C257" s="34">
        <v>2300.517</v>
      </c>
      <c r="D257" s="34"/>
      <c r="E257" s="34">
        <f>C257+D257</f>
        <v>2300.517</v>
      </c>
      <c r="F257" s="34">
        <f>5.79292257485553*E257</f>
        <v>13326.71686313892</v>
      </c>
      <c r="H257" s="36"/>
      <c r="I257" s="34">
        <v>255.876</v>
      </c>
      <c r="J257" s="34"/>
      <c r="K257" s="34">
        <f>I257+J257</f>
        <v>255.876</v>
      </c>
      <c r="L257" s="34">
        <f>64.6380973378644*K257</f>
        <v>16539.33779442339</v>
      </c>
      <c r="M257" s="34">
        <f>F257+L257</f>
        <v>29866.05465756231</v>
      </c>
      <c r="O257" s="4">
        <f>F257/M257</f>
        <v>0.44621618141197955</v>
      </c>
      <c r="P257" s="4">
        <f>L257/M257</f>
        <v>0.5537838185880205</v>
      </c>
    </row>
    <row r="258" spans="1:16" ht="12.75">
      <c r="A258" s="33">
        <v>1485</v>
      </c>
      <c r="B258" s="20"/>
      <c r="C258" s="34">
        <v>801.247</v>
      </c>
      <c r="D258" s="34"/>
      <c r="E258" s="34">
        <f>C258+D258</f>
        <v>801.247</v>
      </c>
      <c r="F258" s="34">
        <f>5.79292257485553*E258</f>
        <v>4641.561834335269</v>
      </c>
      <c r="H258" s="36"/>
      <c r="I258" s="34">
        <v>135.234</v>
      </c>
      <c r="J258" s="34"/>
      <c r="K258" s="34">
        <f>I258+J258</f>
        <v>135.234</v>
      </c>
      <c r="L258" s="34">
        <f>64.6380973378644*K258</f>
        <v>8741.268455388754</v>
      </c>
      <c r="M258" s="34">
        <f>F258+L258</f>
        <v>13382.830289724023</v>
      </c>
      <c r="O258" s="4">
        <f>F258/M258</f>
        <v>0.3468296118123296</v>
      </c>
      <c r="P258" s="4">
        <f>L258/M258</f>
        <v>0.6531703881876705</v>
      </c>
    </row>
    <row r="259" spans="1:16" ht="12.75">
      <c r="A259" s="33">
        <v>1486</v>
      </c>
      <c r="B259" s="20"/>
      <c r="C259" s="34">
        <v>1328.022</v>
      </c>
      <c r="D259" s="34"/>
      <c r="E259" s="34">
        <f>C259+D259</f>
        <v>1328.022</v>
      </c>
      <c r="F259" s="34">
        <f>5.79292257485553*E259</f>
        <v>7693.128623704791</v>
      </c>
      <c r="H259" s="36"/>
      <c r="I259" s="34">
        <v>164.358</v>
      </c>
      <c r="J259" s="34"/>
      <c r="K259" s="34">
        <f>I259+J259</f>
        <v>164.358</v>
      </c>
      <c r="L259" s="34">
        <f>64.6380973378644*K259</f>
        <v>10623.788402256716</v>
      </c>
      <c r="M259" s="34">
        <f>F259+L259</f>
        <v>18316.917025961506</v>
      </c>
      <c r="O259" s="4">
        <f>F259/M259</f>
        <v>0.42000128148208155</v>
      </c>
      <c r="P259" s="4">
        <f>L259/M259</f>
        <v>0.5799987185179185</v>
      </c>
    </row>
    <row r="260" spans="1:16" ht="12.75">
      <c r="A260" s="33">
        <v>1487</v>
      </c>
      <c r="B260" s="20"/>
      <c r="C260" s="34">
        <v>615.029</v>
      </c>
      <c r="D260" s="34"/>
      <c r="E260" s="34">
        <f>C260+D260</f>
        <v>615.029</v>
      </c>
      <c r="F260" s="34">
        <f>5.79292257485553*E260</f>
        <v>3562.815378290822</v>
      </c>
      <c r="H260" s="36"/>
      <c r="I260" s="34">
        <v>120.092</v>
      </c>
      <c r="J260" s="34"/>
      <c r="K260" s="34">
        <f>I260+J260</f>
        <v>120.092</v>
      </c>
      <c r="L260" s="34">
        <f>64.6380973378644*K260</f>
        <v>7762.518385498811</v>
      </c>
      <c r="M260" s="34">
        <f>F260+L260</f>
        <v>11325.333763789633</v>
      </c>
      <c r="O260" s="4">
        <f>F260/M260</f>
        <v>0.3145881130392972</v>
      </c>
      <c r="P260" s="4">
        <f>L260/M260</f>
        <v>0.6854118869607028</v>
      </c>
    </row>
    <row r="261" spans="1:16" ht="12.75">
      <c r="A261" s="33">
        <v>1488</v>
      </c>
      <c r="B261" s="20"/>
      <c r="C261" s="34">
        <v>858.308</v>
      </c>
      <c r="D261" s="34"/>
      <c r="E261" s="34">
        <f>C261+D261</f>
        <v>858.308</v>
      </c>
      <c r="F261" s="34">
        <f>5.79292257485553*E261</f>
        <v>4972.111789379101</v>
      </c>
      <c r="H261" s="36"/>
      <c r="I261" s="34">
        <v>140.499</v>
      </c>
      <c r="J261" s="34"/>
      <c r="K261" s="34">
        <f>I261+J261</f>
        <v>140.499</v>
      </c>
      <c r="L261" s="34">
        <f>64.6380973378644*K261</f>
        <v>9081.588037872609</v>
      </c>
      <c r="M261" s="34">
        <f>F261+L261</f>
        <v>14053.699827251708</v>
      </c>
      <c r="O261" s="4">
        <f>F261/M261</f>
        <v>0.3537937945520663</v>
      </c>
      <c r="P261" s="4">
        <f>L261/M261</f>
        <v>0.6462062054479337</v>
      </c>
    </row>
    <row r="262" spans="1:16" ht="12.75">
      <c r="A262" s="33">
        <v>1489</v>
      </c>
      <c r="B262" s="20"/>
      <c r="C262" s="34">
        <v>881.693</v>
      </c>
      <c r="D262" s="34"/>
      <c r="E262" s="34">
        <f>C262+D262</f>
        <v>881.693</v>
      </c>
      <c r="F262" s="34">
        <f>5.79292257485553*E262</f>
        <v>5107.579283792097</v>
      </c>
      <c r="H262" s="36"/>
      <c r="I262" s="34">
        <v>82.933</v>
      </c>
      <c r="J262" s="34"/>
      <c r="K262" s="34">
        <f>I262+J262</f>
        <v>82.933</v>
      </c>
      <c r="L262" s="34">
        <f>64.6380973378644*K262</f>
        <v>5360.631326521108</v>
      </c>
      <c r="M262" s="34">
        <f>F262+L262</f>
        <v>10468.210610313206</v>
      </c>
      <c r="O262" s="4">
        <f>F262/M262</f>
        <v>0.4879133095354565</v>
      </c>
      <c r="P262" s="4">
        <f>L262/M262</f>
        <v>0.5120866904645435</v>
      </c>
    </row>
    <row r="263" spans="1:16" ht="12.75">
      <c r="A263" s="33">
        <v>1490</v>
      </c>
      <c r="B263" s="20"/>
      <c r="C263" s="34">
        <f>(C262+C265)/2</f>
        <v>950.873125</v>
      </c>
      <c r="D263" s="34"/>
      <c r="E263" s="34">
        <f>C263+D263</f>
        <v>950.873125</v>
      </c>
      <c r="F263" s="34">
        <f>5.79292257485553*E263</f>
        <v>5508.3343916359245</v>
      </c>
      <c r="H263" s="36"/>
      <c r="I263" s="34">
        <f>(I262+I265)/2</f>
        <v>140.863125</v>
      </c>
      <c r="J263" s="34"/>
      <c r="K263" s="34">
        <f>I263+J263</f>
        <v>140.863125</v>
      </c>
      <c r="L263" s="34">
        <f>64.6380973378644*K263</f>
        <v>9105.12438506576</v>
      </c>
      <c r="M263" s="34">
        <f>F263+L263</f>
        <v>14613.458776701684</v>
      </c>
      <c r="O263" s="4">
        <f>F263/M263</f>
        <v>0.37693570535251325</v>
      </c>
      <c r="P263" s="4">
        <f>L263/M263</f>
        <v>0.6230642946474868</v>
      </c>
    </row>
    <row r="264" spans="1:16" ht="12.75">
      <c r="A264" s="33">
        <v>1491</v>
      </c>
      <c r="B264" s="20"/>
      <c r="C264" s="34">
        <f>(C263+C265)/2</f>
        <v>985.4631875</v>
      </c>
      <c r="D264" s="34"/>
      <c r="E264" s="34">
        <f>C264+D264</f>
        <v>985.4631875</v>
      </c>
      <c r="F264" s="34">
        <f>5.79292257485553*E264</f>
        <v>5708.711945557839</v>
      </c>
      <c r="H264" s="36"/>
      <c r="I264" s="34">
        <f>(I263+I265)/2</f>
        <v>169.8281875</v>
      </c>
      <c r="J264" s="34"/>
      <c r="K264" s="34">
        <f>I264+J264</f>
        <v>169.8281875</v>
      </c>
      <c r="L264" s="34">
        <f>64.6380973378644*K264</f>
        <v>10977.370914338086</v>
      </c>
      <c r="M264" s="34">
        <f>F264+L264</f>
        <v>16686.082859895923</v>
      </c>
      <c r="O264" s="4">
        <f>F264/M264</f>
        <v>0.3421241518150681</v>
      </c>
      <c r="P264" s="4">
        <f>L264/M264</f>
        <v>0.6578758481849319</v>
      </c>
    </row>
    <row r="265" spans="1:16" ht="12.75">
      <c r="A265" s="33">
        <v>1492</v>
      </c>
      <c r="B265" s="20"/>
      <c r="C265" s="34">
        <f>(C261+C262+C268+C269)/4</f>
        <v>1020.0532499999999</v>
      </c>
      <c r="D265" s="34"/>
      <c r="E265" s="34">
        <f>C265+D265</f>
        <v>1020.0532499999999</v>
      </c>
      <c r="F265" s="34">
        <f>5.79292257485553*E265</f>
        <v>5909.089499479752</v>
      </c>
      <c r="H265" s="36"/>
      <c r="I265" s="34">
        <f>(I261+I262+I268+I269)/4</f>
        <v>198.79325</v>
      </c>
      <c r="J265" s="34"/>
      <c r="K265" s="34">
        <f>I265+J265</f>
        <v>198.79325</v>
      </c>
      <c r="L265" s="34">
        <f>64.6380973378644*K265</f>
        <v>12849.61744361041</v>
      </c>
      <c r="M265" s="34">
        <f>F265+L265</f>
        <v>18758.70694309016</v>
      </c>
      <c r="O265" s="4">
        <f>F265/M265</f>
        <v>0.3150051609317553</v>
      </c>
      <c r="P265" s="4">
        <f>L265/M265</f>
        <v>0.6849948390682448</v>
      </c>
    </row>
    <row r="266" spans="1:16" ht="12.75">
      <c r="A266" s="33">
        <v>1493</v>
      </c>
      <c r="B266" s="20"/>
      <c r="C266" s="34">
        <f>(C265+C268)/2</f>
        <v>1306.391625</v>
      </c>
      <c r="D266" s="34"/>
      <c r="E266" s="34">
        <f>C266+D266</f>
        <v>1306.391625</v>
      </c>
      <c r="F266" s="34">
        <f>5.79292257485553*E266</f>
        <v>7567.8255360647</v>
      </c>
      <c r="H266" s="36"/>
      <c r="I266" s="34">
        <f>(I265+I268)/2</f>
        <v>283.218125</v>
      </c>
      <c r="J266" s="34"/>
      <c r="K266" s="34">
        <f>I266+J266</f>
        <v>283.218125</v>
      </c>
      <c r="L266" s="34">
        <f>64.6380973378644*K266</f>
        <v>18306.680731597444</v>
      </c>
      <c r="M266" s="34">
        <f>F266+L266</f>
        <v>25874.506267662146</v>
      </c>
      <c r="O266" s="4">
        <f>F266/M266</f>
        <v>0.29248193019717394</v>
      </c>
      <c r="P266" s="4">
        <f>L266/M266</f>
        <v>0.7075180698028259</v>
      </c>
    </row>
    <row r="267" spans="1:16" ht="12.75">
      <c r="A267" s="33">
        <v>1494</v>
      </c>
      <c r="B267" s="20"/>
      <c r="C267" s="34">
        <f>(C266+C268)/2</f>
        <v>1449.5608124999999</v>
      </c>
      <c r="D267" s="34"/>
      <c r="E267" s="34">
        <f>C267+D267</f>
        <v>1449.5608124999999</v>
      </c>
      <c r="F267" s="34">
        <f>5.79292257485553*E267</f>
        <v>8397.193554357174</v>
      </c>
      <c r="H267" s="36"/>
      <c r="I267" s="34">
        <f>(I266+I268)/2</f>
        <v>325.43056249999995</v>
      </c>
      <c r="J267" s="34"/>
      <c r="K267" s="34">
        <f>I267+J267</f>
        <v>325.43056249999995</v>
      </c>
      <c r="L267" s="34">
        <f>64.6380973378644*K267</f>
        <v>21035.21237559096</v>
      </c>
      <c r="M267" s="34">
        <f>F267+L267</f>
        <v>29432.405929948134</v>
      </c>
      <c r="O267" s="4">
        <f>F267/M267</f>
        <v>0.28530435379096347</v>
      </c>
      <c r="P267" s="4">
        <f>L267/M267</f>
        <v>0.7146956462090365</v>
      </c>
    </row>
    <row r="268" spans="1:16" ht="12.75">
      <c r="A268" s="33">
        <v>1495</v>
      </c>
      <c r="B268" s="20"/>
      <c r="C268" s="34">
        <v>1592.73</v>
      </c>
      <c r="D268" s="34"/>
      <c r="E268" s="34">
        <f>C268+D268</f>
        <v>1592.73</v>
      </c>
      <c r="F268" s="34">
        <f>5.79292257485553*E268</f>
        <v>9226.561572649649</v>
      </c>
      <c r="H268" s="36"/>
      <c r="I268" s="34">
        <v>367.643</v>
      </c>
      <c r="J268" s="34"/>
      <c r="K268" s="34">
        <f>I268+J268</f>
        <v>367.643</v>
      </c>
      <c r="L268" s="34">
        <f>64.6380973378644*K268</f>
        <v>23763.74401958448</v>
      </c>
      <c r="M268" s="34">
        <f>F268+L268</f>
        <v>32990.30559223413</v>
      </c>
      <c r="O268" s="4">
        <f>F268/M268</f>
        <v>0.2796749350155025</v>
      </c>
      <c r="P268" s="4">
        <f>L268/M268</f>
        <v>0.7203250649844974</v>
      </c>
    </row>
    <row r="269" spans="1:16" ht="12.75">
      <c r="A269" s="33">
        <v>1496</v>
      </c>
      <c r="B269" s="20"/>
      <c r="C269" s="34">
        <v>747.482</v>
      </c>
      <c r="D269" s="34"/>
      <c r="E269" s="34">
        <f>C269+D269</f>
        <v>747.482</v>
      </c>
      <c r="F269" s="34">
        <f>5.79292257485553*E269</f>
        <v>4330.105352098161</v>
      </c>
      <c r="H269" s="36"/>
      <c r="I269" s="34">
        <v>204.098</v>
      </c>
      <c r="J269" s="34"/>
      <c r="K269" s="34">
        <f>I269+J269</f>
        <v>204.098</v>
      </c>
      <c r="L269" s="34">
        <f>64.6380973378644*K269</f>
        <v>13192.506390463448</v>
      </c>
      <c r="M269" s="34">
        <f>F269+L269</f>
        <v>17522.61174256161</v>
      </c>
      <c r="O269" s="4">
        <f>F269/M269</f>
        <v>0.2471152939821486</v>
      </c>
      <c r="P269" s="4">
        <f>L269/M269</f>
        <v>0.7528847060178514</v>
      </c>
    </row>
    <row r="270" spans="1:16" ht="12.75">
      <c r="A270" s="33">
        <v>1497</v>
      </c>
      <c r="B270" s="20"/>
      <c r="C270" s="34">
        <v>1459.972</v>
      </c>
      <c r="D270" s="34"/>
      <c r="E270" s="34">
        <f>C270+D270</f>
        <v>1459.972</v>
      </c>
      <c r="F270" s="34">
        <f>5.79292257485553*E270</f>
        <v>8457.504757456978</v>
      </c>
      <c r="H270" s="36"/>
      <c r="I270" s="34">
        <v>266.259</v>
      </c>
      <c r="J270" s="34"/>
      <c r="K270" s="34">
        <f>I270+J270</f>
        <v>266.259</v>
      </c>
      <c r="L270" s="34">
        <f>64.6380973378644*K270</f>
        <v>17210.475159082438</v>
      </c>
      <c r="M270" s="34">
        <f>F270+L270</f>
        <v>25667.979916539414</v>
      </c>
      <c r="O270" s="4">
        <f>F270/M270</f>
        <v>0.32949631349864433</v>
      </c>
      <c r="P270" s="4">
        <f>L270/M270</f>
        <v>0.6705036865013557</v>
      </c>
    </row>
    <row r="271" spans="1:16" ht="12.75">
      <c r="A271" s="33">
        <v>1498</v>
      </c>
      <c r="B271" s="20"/>
      <c r="C271" s="34">
        <v>2494.261</v>
      </c>
      <c r="E271" s="34">
        <f>C271+D271</f>
        <v>2494.261</v>
      </c>
      <c r="F271" s="34">
        <f>5.79292257485553*E271</f>
        <v>14449.06085448173</v>
      </c>
      <c r="H271" s="36"/>
      <c r="I271" s="34">
        <v>302.202</v>
      </c>
      <c r="J271" s="34"/>
      <c r="K271" s="34">
        <f>I271+J271</f>
        <v>302.202</v>
      </c>
      <c r="L271" s="34">
        <f>64.6380973378644*K271</f>
        <v>19533.762291697294</v>
      </c>
      <c r="M271" s="34">
        <f>F271+L271</f>
        <v>33982.82314617903</v>
      </c>
      <c r="O271" s="4">
        <f>F271/M271</f>
        <v>0.42518718331105926</v>
      </c>
      <c r="P271" s="4">
        <f>L271/M271</f>
        <v>0.5748128166889407</v>
      </c>
    </row>
    <row r="272" spans="1:16" ht="12.75">
      <c r="A272" s="33">
        <v>1499</v>
      </c>
      <c r="B272" s="20"/>
      <c r="C272" s="34">
        <v>4325.385</v>
      </c>
      <c r="E272" s="34">
        <f>C272+D272</f>
        <v>4325.385</v>
      </c>
      <c r="F272" s="34">
        <f>5.79292257485553*E272</f>
        <v>25056.62041144149</v>
      </c>
      <c r="H272" s="36"/>
      <c r="I272" s="34">
        <v>341.849</v>
      </c>
      <c r="J272" s="34"/>
      <c r="K272" s="34">
        <f>I272+J272</f>
        <v>341.849</v>
      </c>
      <c r="L272" s="34">
        <f>64.6380973378644*K272</f>
        <v>22096.468936851605</v>
      </c>
      <c r="M272" s="34">
        <f>F272+L272</f>
        <v>47153.0893482931</v>
      </c>
      <c r="O272" s="4">
        <f>F272/M272</f>
        <v>0.5313887331191062</v>
      </c>
      <c r="P272" s="4">
        <f>L272/M272</f>
        <v>0.4686112668808937</v>
      </c>
    </row>
    <row r="273" spans="1:16" ht="12.75">
      <c r="A273" s="33">
        <v>1500</v>
      </c>
      <c r="B273" s="20"/>
      <c r="C273" s="34">
        <v>3427.6</v>
      </c>
      <c r="E273" s="34">
        <f>C273+D273</f>
        <v>3427.6</v>
      </c>
      <c r="F273" s="34">
        <f>5.79292257485553*E273</f>
        <v>19855.821417574814</v>
      </c>
      <c r="H273" s="36">
        <v>754.708</v>
      </c>
      <c r="I273" s="34">
        <f>H273*0.373241712*(23.875/24)</f>
        <v>280.221378344783</v>
      </c>
      <c r="J273" s="34"/>
      <c r="K273" s="34">
        <f>I273+J273</f>
        <v>280.221378344783</v>
      </c>
      <c r="L273" s="34">
        <f>64.6380973378644*K273</f>
        <v>18112.976729600607</v>
      </c>
      <c r="M273" s="34">
        <f>F273+L273</f>
        <v>37968.79814717542</v>
      </c>
      <c r="O273" s="4">
        <f>F273/M273</f>
        <v>0.5229510120549321</v>
      </c>
      <c r="P273" s="4">
        <f>L273/M273</f>
        <v>0.477048987945068</v>
      </c>
    </row>
    <row r="274" spans="1:16" ht="12.75">
      <c r="A274" s="33">
        <v>1501</v>
      </c>
      <c r="B274" s="20"/>
      <c r="C274" s="34">
        <v>3567.04</v>
      </c>
      <c r="E274" s="34">
        <f>C274+D274</f>
        <v>3567.04</v>
      </c>
      <c r="F274" s="34">
        <f>5.79292257485553*E274</f>
        <v>20663.58654141267</v>
      </c>
      <c r="H274" s="36">
        <v>1040.177</v>
      </c>
      <c r="I274" s="34">
        <f>H274*0.373241712*(23.875/24)</f>
        <v>386.2153742408207</v>
      </c>
      <c r="J274" s="34"/>
      <c r="K274" s="34">
        <f>I274+J274</f>
        <v>386.2153742408207</v>
      </c>
      <c r="L274" s="34">
        <f>64.6380973378644*K274</f>
        <v>24964.226953557896</v>
      </c>
      <c r="M274" s="34">
        <f>F274+L274</f>
        <v>45627.81349497057</v>
      </c>
      <c r="O274" s="4">
        <f>F274/M274</f>
        <v>0.4528726002548941</v>
      </c>
      <c r="P274" s="4">
        <f>L274/M274</f>
        <v>0.5471273997451058</v>
      </c>
    </row>
    <row r="275" spans="1:16" ht="12.75">
      <c r="A275" s="33">
        <v>1502</v>
      </c>
      <c r="B275" s="20"/>
      <c r="C275" s="34">
        <v>3220.76</v>
      </c>
      <c r="E275" s="34">
        <f>C275+D275</f>
        <v>3220.76</v>
      </c>
      <c r="F275" s="34">
        <f>5.79292257485553*E275</f>
        <v>18657.613312191697</v>
      </c>
      <c r="H275" s="36">
        <v>1232.083</v>
      </c>
      <c r="I275" s="34">
        <f>H275*0.373241712*(23.875/24)</f>
        <v>457.4696392448143</v>
      </c>
      <c r="J275" s="34"/>
      <c r="K275" s="34">
        <f>I275+J275</f>
        <v>457.4696392448143</v>
      </c>
      <c r="L275" s="34">
        <f>64.6380973378644*K275</f>
        <v>29569.967070624014</v>
      </c>
      <c r="M275" s="34">
        <f>F275+L275</f>
        <v>48227.58038281571</v>
      </c>
      <c r="O275" s="4">
        <f>F275/M275</f>
        <v>0.3868660456131802</v>
      </c>
      <c r="P275" s="4">
        <f>L275/M275</f>
        <v>0.6131339543868198</v>
      </c>
    </row>
    <row r="276" spans="1:16" ht="12.75">
      <c r="A276" s="33">
        <v>1503</v>
      </c>
      <c r="B276" s="20"/>
      <c r="C276" s="34">
        <v>2516.02</v>
      </c>
      <c r="E276" s="34">
        <f>C276+D276</f>
        <v>2516.02</v>
      </c>
      <c r="F276" s="34">
        <f>5.79292257485553*E276</f>
        <v>14575.109056788011</v>
      </c>
      <c r="H276" s="36">
        <v>1192.594</v>
      </c>
      <c r="I276" s="34">
        <f>H276*0.373241712*(23.875/24)</f>
        <v>442.8074626023815</v>
      </c>
      <c r="J276" s="34"/>
      <c r="K276" s="34">
        <f>I276+J276</f>
        <v>442.8074626023815</v>
      </c>
      <c r="L276" s="34">
        <f>64.6380973378644*K276</f>
        <v>28622.231869625484</v>
      </c>
      <c r="M276" s="34">
        <f>F276+L276</f>
        <v>43197.3409264135</v>
      </c>
      <c r="O276" s="4">
        <f>F276/M276</f>
        <v>0.3374075520439245</v>
      </c>
      <c r="P276" s="4">
        <f>L276/M276</f>
        <v>0.6625924479560755</v>
      </c>
    </row>
    <row r="277" spans="1:16" ht="12.75">
      <c r="A277" s="33">
        <v>1504</v>
      </c>
      <c r="B277" s="20"/>
      <c r="C277" s="34">
        <v>4470.39</v>
      </c>
      <c r="E277" s="34">
        <f>C277+D277</f>
        <v>4470.39</v>
      </c>
      <c r="F277" s="34">
        <f>5.79292257485553*E277</f>
        <v>25896.623149408417</v>
      </c>
      <c r="H277" s="36">
        <v>1511.74</v>
      </c>
      <c r="I277" s="34">
        <f>H277*0.373241712*(23.875/24)</f>
        <v>561.305652648365</v>
      </c>
      <c r="J277" s="34"/>
      <c r="K277" s="34">
        <f>I277+J277</f>
        <v>561.305652648365</v>
      </c>
      <c r="L277" s="34">
        <f>64.6380973378644*K277</f>
        <v>36281.729412178516</v>
      </c>
      <c r="M277" s="34">
        <f>F277+L277</f>
        <v>62178.35256158693</v>
      </c>
      <c r="O277" s="4">
        <f>F277/M277</f>
        <v>0.41648937423612364</v>
      </c>
      <c r="P277" s="4">
        <f>L277/M277</f>
        <v>0.5835106257638764</v>
      </c>
    </row>
    <row r="278" spans="1:16" ht="12.75">
      <c r="A278" s="33">
        <v>1505</v>
      </c>
      <c r="B278" s="20"/>
      <c r="C278" s="34">
        <v>7793.51</v>
      </c>
      <c r="E278" s="34">
        <f>C278+D278</f>
        <v>7793.51</v>
      </c>
      <c r="F278" s="34">
        <f>5.79292257485553*E278</f>
        <v>45147.20001636232</v>
      </c>
      <c r="H278" s="36">
        <v>1980.135</v>
      </c>
      <c r="I278" s="34">
        <f>H278*0.373241712*(23.875/24)</f>
        <v>735.2196598005413</v>
      </c>
      <c r="J278" s="34"/>
      <c r="K278" s="34">
        <f>I278+J278</f>
        <v>735.2196598005413</v>
      </c>
      <c r="L278" s="34">
        <f>64.6380973378644*K278</f>
        <v>47523.199934898934</v>
      </c>
      <c r="M278" s="34">
        <f>F278+L278</f>
        <v>92670.39995126126</v>
      </c>
      <c r="O278" s="4">
        <f>F278/M278</f>
        <v>0.4871803730220964</v>
      </c>
      <c r="P278" s="4">
        <f>L278/M278</f>
        <v>0.5128196269779035</v>
      </c>
    </row>
    <row r="279" spans="1:16" ht="12.75">
      <c r="A279" s="33">
        <v>1506</v>
      </c>
      <c r="B279" s="20"/>
      <c r="C279" s="34">
        <v>6648.43</v>
      </c>
      <c r="E279" s="34">
        <f>C279+D279</f>
        <v>6648.43</v>
      </c>
      <c r="F279" s="34">
        <f>5.79292257485553*E279</f>
        <v>38513.84023434675</v>
      </c>
      <c r="H279" s="36">
        <v>3981.385</v>
      </c>
      <c r="I279" s="34">
        <f>H279*0.373241712*(23.875/24)</f>
        <v>1478.2792714814789</v>
      </c>
      <c r="J279" s="34"/>
      <c r="K279" s="34">
        <f>I279+J279</f>
        <v>1478.2792714814789</v>
      </c>
      <c r="L279" s="34">
        <f>64.6380973378644*K279</f>
        <v>95553.15944256709</v>
      </c>
      <c r="M279" s="34">
        <f>F279+L279</f>
        <v>134066.99967691384</v>
      </c>
      <c r="O279" s="4">
        <f>F279/M279</f>
        <v>0.28727308231824916</v>
      </c>
      <c r="P279" s="4">
        <f>L279/M279</f>
        <v>0.7127269176817509</v>
      </c>
    </row>
    <row r="280" spans="1:16" ht="12.75">
      <c r="A280" s="33">
        <v>1507</v>
      </c>
      <c r="B280" s="20"/>
      <c r="C280" s="34">
        <v>5230.92</v>
      </c>
      <c r="E280" s="34">
        <f>C280+D280</f>
        <v>5230.92</v>
      </c>
      <c r="F280" s="34">
        <f>5.79292257485553*E280</f>
        <v>30302.31455526329</v>
      </c>
      <c r="H280" s="36">
        <v>3566.99</v>
      </c>
      <c r="I280" s="34">
        <f>H280*0.373241712*(23.875/24)</f>
        <v>1324.4153425458026</v>
      </c>
      <c r="J280" s="34"/>
      <c r="K280" s="34">
        <f>I280+J280</f>
        <v>1324.4153425458026</v>
      </c>
      <c r="L280" s="34">
        <f>64.6380973378644*K280</f>
        <v>85607.6878272366</v>
      </c>
      <c r="M280" s="34">
        <f>F280+L280</f>
        <v>115910.0023824999</v>
      </c>
      <c r="O280" s="4">
        <f>F280/M280</f>
        <v>0.2614296776154526</v>
      </c>
      <c r="P280" s="4">
        <f>L280/M280</f>
        <v>0.7385703223845473</v>
      </c>
    </row>
    <row r="281" spans="1:16" ht="12.75">
      <c r="A281" s="33">
        <v>1508</v>
      </c>
      <c r="B281" s="20"/>
      <c r="C281" s="34">
        <v>4140.77</v>
      </c>
      <c r="E281" s="34">
        <f>C281+D281</f>
        <v>4140.77</v>
      </c>
      <c r="F281" s="34">
        <f>5.79292257485553*E281</f>
        <v>23987.160010284537</v>
      </c>
      <c r="H281" s="36">
        <v>5112.146</v>
      </c>
      <c r="I281" s="34">
        <f>H281*0.373241712*(23.875/24)</f>
        <v>1898.1282806327333</v>
      </c>
      <c r="J281" s="34"/>
      <c r="K281" s="34">
        <f>I281+J281</f>
        <v>1898.1282806327333</v>
      </c>
      <c r="L281" s="34">
        <f>64.6380973378644*K281</f>
        <v>122691.4005632918</v>
      </c>
      <c r="M281" s="34">
        <f>F281+L281</f>
        <v>146678.56057357634</v>
      </c>
      <c r="O281" s="4">
        <f>F281/M281</f>
        <v>0.16353555636545936</v>
      </c>
      <c r="P281" s="4">
        <f>L281/M281</f>
        <v>0.8364644436345406</v>
      </c>
    </row>
    <row r="282" spans="1:16" ht="12.75">
      <c r="A282" s="33">
        <v>1509</v>
      </c>
      <c r="B282" s="20"/>
      <c r="C282" s="34">
        <v>1595.34</v>
      </c>
      <c r="E282" s="34">
        <f>C282+D282</f>
        <v>1595.34</v>
      </c>
      <c r="F282" s="34">
        <f>5.79292257485553*E282</f>
        <v>9241.681100570022</v>
      </c>
      <c r="H282" s="36">
        <v>4968.792</v>
      </c>
      <c r="I282" s="34">
        <f>H282*0.373241712*(23.875/24)</f>
        <v>1844.9012637318422</v>
      </c>
      <c r="J282" s="34"/>
      <c r="K282" s="34">
        <f>I282+J282</f>
        <v>1844.9012637318422</v>
      </c>
      <c r="L282" s="34">
        <f>64.6380973378644*K282</f>
        <v>119250.90746384785</v>
      </c>
      <c r="M282" s="34">
        <f>F282+L282</f>
        <v>128492.58856441788</v>
      </c>
      <c r="O282" s="4">
        <f>F282/M282</f>
        <v>0.07192384559936577</v>
      </c>
      <c r="P282" s="4">
        <f>L282/M282</f>
        <v>0.9280761544006342</v>
      </c>
    </row>
    <row r="283" spans="1:16" ht="12.75">
      <c r="A283" s="33">
        <v>1510</v>
      </c>
      <c r="B283" s="20"/>
      <c r="C283" s="34">
        <v>550.6</v>
      </c>
      <c r="E283" s="34">
        <f>C283+D283</f>
        <v>550.6</v>
      </c>
      <c r="F283" s="34">
        <f>5.79292257485553*E283</f>
        <v>3189.583169715455</v>
      </c>
      <c r="H283" s="36">
        <v>2881.385</v>
      </c>
      <c r="I283" s="34">
        <f>H283*0.373241712*(23.875/24)</f>
        <v>1069.8517522564787</v>
      </c>
      <c r="J283" s="34"/>
      <c r="K283" s="34">
        <f>I283+J283</f>
        <v>1069.8517522564787</v>
      </c>
      <c r="L283" s="34">
        <f>64.6380973378644*K283</f>
        <v>69153.18169943905</v>
      </c>
      <c r="M283" s="34">
        <f>F283+L283</f>
        <v>72342.7648691545</v>
      </c>
      <c r="O283" s="4">
        <f>F283/M283</f>
        <v>0.04408987098411867</v>
      </c>
      <c r="P283" s="4">
        <f>L283/M283</f>
        <v>0.9559101290158813</v>
      </c>
    </row>
    <row r="284" spans="1:16" ht="12.75">
      <c r="A284" s="33">
        <v>1511</v>
      </c>
      <c r="B284" s="20"/>
      <c r="C284" s="34">
        <v>198.36</v>
      </c>
      <c r="E284" s="34">
        <f>C284+D284</f>
        <v>198.36</v>
      </c>
      <c r="F284" s="34">
        <f>5.79292257485553*E284</f>
        <v>1149.084121948343</v>
      </c>
      <c r="H284" s="36">
        <v>2103.646</v>
      </c>
      <c r="I284" s="34">
        <f>H284*0.373241712*(23.875/24)</f>
        <v>781.0790155523586</v>
      </c>
      <c r="J284" s="34"/>
      <c r="K284" s="34">
        <f>I284+J284</f>
        <v>781.0790155523586</v>
      </c>
      <c r="L284" s="34">
        <f>64.6380973378644*K284</f>
        <v>50487.46143583665</v>
      </c>
      <c r="M284" s="34">
        <f>F284+L284</f>
        <v>51636.54555778499</v>
      </c>
      <c r="O284" s="4">
        <f>F284/M284</f>
        <v>0.022253311284397125</v>
      </c>
      <c r="P284" s="4">
        <f>L284/M284</f>
        <v>0.9777466887156029</v>
      </c>
    </row>
    <row r="285" spans="1:16" ht="12.75">
      <c r="A285" s="33">
        <v>1512</v>
      </c>
      <c r="B285" s="20"/>
      <c r="C285" s="34">
        <v>1792.44</v>
      </c>
      <c r="E285" s="34">
        <f>C285+D285</f>
        <v>1792.44</v>
      </c>
      <c r="F285" s="34">
        <f>5.79292257485553*E285</f>
        <v>10383.466140074046</v>
      </c>
      <c r="H285" s="36">
        <v>1121.938</v>
      </c>
      <c r="I285" s="34">
        <f>H285*0.373241712*(23.875/24)</f>
        <v>416.5730491493255</v>
      </c>
      <c r="J285" s="34"/>
      <c r="K285" s="34">
        <f>I285+J285</f>
        <v>416.5730491493255</v>
      </c>
      <c r="L285" s="34">
        <f>64.6380973378644*K285</f>
        <v>26926.489299245073</v>
      </c>
      <c r="M285" s="34">
        <f>F285+L285</f>
        <v>37309.95543931912</v>
      </c>
      <c r="O285" s="4">
        <f>F285/M285</f>
        <v>0.2783028287707742</v>
      </c>
      <c r="P285" s="4">
        <f>L285/M285</f>
        <v>0.7216971712292257</v>
      </c>
    </row>
    <row r="286" spans="1:16" ht="12.75">
      <c r="A286" s="33">
        <v>1513</v>
      </c>
      <c r="B286" s="20"/>
      <c r="C286" s="34">
        <v>2341.33</v>
      </c>
      <c r="E286" s="34">
        <f>C286+D286</f>
        <v>2341.33</v>
      </c>
      <c r="F286" s="34">
        <f>5.79292257485553*E286</f>
        <v>13563.143412186499</v>
      </c>
      <c r="H286" s="36">
        <v>3047.792</v>
      </c>
      <c r="I286" s="34">
        <f>H286*0.373241712*(23.875/24)</f>
        <v>1131.638296067092</v>
      </c>
      <c r="J286" s="34"/>
      <c r="K286" s="34">
        <f>I286+J286</f>
        <v>1131.638296067092</v>
      </c>
      <c r="L286" s="34">
        <f>64.6380973378644*K286</f>
        <v>73146.9463324397</v>
      </c>
      <c r="M286" s="34">
        <f>F286+L286</f>
        <v>86710.0897446262</v>
      </c>
      <c r="O286" s="4">
        <f>F286/M286</f>
        <v>0.15641943690903706</v>
      </c>
      <c r="P286" s="4">
        <f>L286/M286</f>
        <v>0.8435805630909629</v>
      </c>
    </row>
    <row r="287" spans="1:16" ht="12.75">
      <c r="A287" s="33">
        <v>1514</v>
      </c>
      <c r="B287" s="20"/>
      <c r="C287" s="34">
        <v>936.1</v>
      </c>
      <c r="E287" s="34">
        <f>C287+D287</f>
        <v>936.1</v>
      </c>
      <c r="F287" s="34">
        <f>5.79292257485553*E287</f>
        <v>5422.754822322262</v>
      </c>
      <c r="H287" s="36">
        <v>1330.802</v>
      </c>
      <c r="I287" s="34">
        <f>H287*0.373241712*(23.875/24)</f>
        <v>494.1237813087895</v>
      </c>
      <c r="J287" s="34"/>
      <c r="K287" s="34">
        <f>I287+J287</f>
        <v>494.1237813087895</v>
      </c>
      <c r="L287" s="34">
        <f>64.6380973378644*K287</f>
        <v>31939.221073191155</v>
      </c>
      <c r="M287" s="34">
        <f>F287+L287</f>
        <v>37361.97589551342</v>
      </c>
      <c r="O287" s="4">
        <f>F287/M287</f>
        <v>0.14514100746404715</v>
      </c>
      <c r="P287" s="4">
        <f>L287/M287</f>
        <v>0.8548589925359529</v>
      </c>
    </row>
    <row r="288" spans="1:16" ht="12.75">
      <c r="A288" s="33">
        <v>1515</v>
      </c>
      <c r="B288" s="20"/>
      <c r="C288" s="34">
        <v>176.83</v>
      </c>
      <c r="E288" s="34">
        <f>C288+D288</f>
        <v>176.83</v>
      </c>
      <c r="F288" s="34">
        <f>5.79292257485553*E288</f>
        <v>1024.3624989117034</v>
      </c>
      <c r="H288" s="36">
        <v>1749.489</v>
      </c>
      <c r="I288" s="34">
        <f>H288*0.373241712*(23.875/24)</f>
        <v>649.5813201649327</v>
      </c>
      <c r="J288" s="34"/>
      <c r="K288" s="34">
        <f>I288+J288</f>
        <v>649.5813201649327</v>
      </c>
      <c r="L288" s="34">
        <f>64.6380973378644*K288</f>
        <v>41987.700601679375</v>
      </c>
      <c r="M288" s="34">
        <f>F288+L288</f>
        <v>43012.06310059108</v>
      </c>
      <c r="O288" s="4">
        <f>F288/M288</f>
        <v>0.02381570250457543</v>
      </c>
      <c r="P288" s="4">
        <f>L288/M288</f>
        <v>0.9761842974954246</v>
      </c>
    </row>
    <row r="289" spans="1:16" ht="12.75">
      <c r="A289" s="33">
        <v>1516</v>
      </c>
      <c r="B289" s="20"/>
      <c r="C289" s="34">
        <v>31.19</v>
      </c>
      <c r="E289" s="34">
        <f>C289+D289</f>
        <v>31.19</v>
      </c>
      <c r="F289" s="34">
        <f>5.79292257485553*E289</f>
        <v>180.681255109744</v>
      </c>
      <c r="H289" s="36">
        <v>2230.375</v>
      </c>
      <c r="I289" s="34">
        <f>H289*0.373241712*(23.875/24)</f>
        <v>828.1332074467813</v>
      </c>
      <c r="J289" s="34"/>
      <c r="K289" s="34">
        <f>I289+J289</f>
        <v>828.1332074467813</v>
      </c>
      <c r="L289" s="34">
        <f>64.6380973378644*K289</f>
        <v>53528.95487166289</v>
      </c>
      <c r="M289" s="34">
        <f>F289+L289</f>
        <v>53709.63612677264</v>
      </c>
      <c r="O289" s="4">
        <f>F289/M289</f>
        <v>0.003364037966730514</v>
      </c>
      <c r="P289" s="4">
        <f>L289/M289</f>
        <v>0.9966359620332694</v>
      </c>
    </row>
    <row r="290" spans="1:16" ht="12.75">
      <c r="A290" s="33">
        <v>1517</v>
      </c>
      <c r="B290" s="20"/>
      <c r="C290" s="34">
        <f>(C289+C291)/2</f>
        <v>102.035</v>
      </c>
      <c r="E290" s="34">
        <f>C290+D290</f>
        <v>102.035</v>
      </c>
      <c r="F290" s="34">
        <f>5.79292257485553*E290</f>
        <v>591.080854925384</v>
      </c>
      <c r="H290" s="34">
        <f>(H289+H291)/2</f>
        <v>2071.3175</v>
      </c>
      <c r="I290" s="34">
        <f>H290*0.373241712*(23.875/24)</f>
        <v>769.0755164112081</v>
      </c>
      <c r="J290" s="34"/>
      <c r="K290" s="34">
        <f>I290+J290</f>
        <v>769.0755164112081</v>
      </c>
      <c r="L290" s="34">
        <f>64.6380973378644*K290</f>
        <v>49711.578089956</v>
      </c>
      <c r="M290" s="34">
        <f>F290+L290</f>
        <v>50302.65894488138</v>
      </c>
      <c r="O290" s="4">
        <f>F290/M290</f>
        <v>0.011750489284732536</v>
      </c>
      <c r="P290" s="4">
        <f>L290/M290</f>
        <v>0.9882495107152675</v>
      </c>
    </row>
    <row r="291" spans="1:16" ht="12.75">
      <c r="A291" s="33">
        <v>1518</v>
      </c>
      <c r="B291" s="20"/>
      <c r="C291" s="34">
        <v>172.88</v>
      </c>
      <c r="E291" s="34">
        <f>C291+D291</f>
        <v>172.88</v>
      </c>
      <c r="F291" s="34">
        <f>5.79292257485553*E291</f>
        <v>1001.480454741024</v>
      </c>
      <c r="H291" s="36">
        <v>1912.26</v>
      </c>
      <c r="I291" s="34">
        <f>H291*0.373241712*(23.875/24)</f>
        <v>710.017825375635</v>
      </c>
      <c r="J291" s="34"/>
      <c r="K291" s="34">
        <f>I291+J291</f>
        <v>710.017825375635</v>
      </c>
      <c r="L291" s="34">
        <f>64.6380973378644*K291</f>
        <v>45894.201308249096</v>
      </c>
      <c r="M291" s="34">
        <f>F291+L291</f>
        <v>46895.68176299012</v>
      </c>
      <c r="O291" s="4">
        <f>F291/M291</f>
        <v>0.021355494090105932</v>
      </c>
      <c r="P291" s="4">
        <f>L291/M291</f>
        <v>0.978644505909894</v>
      </c>
    </row>
    <row r="292" spans="1:16" ht="12.75">
      <c r="A292" s="33">
        <v>1519</v>
      </c>
      <c r="B292" s="20"/>
      <c r="C292" s="34">
        <v>78.41</v>
      </c>
      <c r="E292" s="34">
        <f>C292+D292</f>
        <v>78.41</v>
      </c>
      <c r="F292" s="34">
        <f>5.79292257485553*E292</f>
        <v>454.2230590944221</v>
      </c>
      <c r="H292" s="36">
        <v>2288.729</v>
      </c>
      <c r="I292" s="34">
        <f>H292*0.373241712*(23.875/24)</f>
        <v>849.7999160439226</v>
      </c>
      <c r="J292" s="34"/>
      <c r="K292" s="34">
        <f>I292+J292</f>
        <v>849.7999160439226</v>
      </c>
      <c r="L292" s="34">
        <f>64.6380973378644*K292</f>
        <v>54929.44969095606</v>
      </c>
      <c r="M292" s="34">
        <f>F292+L292</f>
        <v>55383.672750050486</v>
      </c>
      <c r="O292" s="4">
        <f>F292/M292</f>
        <v>0.008201389264022908</v>
      </c>
      <c r="P292" s="4">
        <f>L292/M292</f>
        <v>0.9917986107359771</v>
      </c>
    </row>
    <row r="293" spans="1:16" ht="12.75">
      <c r="A293" s="33">
        <v>1520</v>
      </c>
      <c r="B293" s="20"/>
      <c r="C293" s="34">
        <v>11.21</v>
      </c>
      <c r="E293" s="34">
        <f>C293+D293</f>
        <v>11.21</v>
      </c>
      <c r="F293" s="34">
        <f>5.79292257485553*E293</f>
        <v>64.9386620641305</v>
      </c>
      <c r="H293" s="36">
        <v>1511.604</v>
      </c>
      <c r="I293" s="34">
        <f>H293*0.373241712*(23.875/24)</f>
        <v>561.255156155079</v>
      </c>
      <c r="J293" s="34"/>
      <c r="K293" s="34">
        <f>I293+J293</f>
        <v>561.255156155079</v>
      </c>
      <c r="L293" s="34">
        <f>64.6380973378644*K293</f>
        <v>36278.46541493028</v>
      </c>
      <c r="M293" s="34">
        <f>F293+L293</f>
        <v>36343.40407699441</v>
      </c>
      <c r="O293" s="4">
        <f>F293/M293</f>
        <v>0.0017868073647299607</v>
      </c>
      <c r="P293" s="4">
        <f>L293/M293</f>
        <v>0.9982131926352701</v>
      </c>
    </row>
    <row r="294" spans="1:16" ht="12.75">
      <c r="A294" s="33">
        <v>1521</v>
      </c>
      <c r="B294" s="20"/>
      <c r="C294" s="34">
        <v>256.46</v>
      </c>
      <c r="E294" s="34">
        <f>C294+D294</f>
        <v>256.46</v>
      </c>
      <c r="F294" s="34">
        <f>5.79292257485553*E294</f>
        <v>1485.652923547449</v>
      </c>
      <c r="H294" s="36">
        <v>1128.26</v>
      </c>
      <c r="I294" s="34">
        <f>H294*0.373241712*(23.875/24)</f>
        <v>418.92039349163497</v>
      </c>
      <c r="J294" s="34"/>
      <c r="K294" s="34">
        <f>I294+J294</f>
        <v>418.92039349163497</v>
      </c>
      <c r="L294" s="34">
        <f>64.6380973378644*K294</f>
        <v>27078.217171328753</v>
      </c>
      <c r="M294" s="34">
        <f>F294+L294</f>
        <v>28563.8700948762</v>
      </c>
      <c r="O294" s="4">
        <f>F294/M294</f>
        <v>0.05201161182335534</v>
      </c>
      <c r="P294" s="4">
        <f>L294/M294</f>
        <v>0.9479883881766447</v>
      </c>
    </row>
    <row r="295" spans="1:16" ht="12.75">
      <c r="A295" s="33">
        <v>1522</v>
      </c>
      <c r="B295" s="20"/>
      <c r="C295" s="34">
        <v>2457.65</v>
      </c>
      <c r="E295" s="34">
        <f>C295+D295</f>
        <v>2457.65</v>
      </c>
      <c r="F295" s="34">
        <f>5.79292257485553*E295</f>
        <v>14236.976166093695</v>
      </c>
      <c r="H295" s="36">
        <v>611.958</v>
      </c>
      <c r="I295" s="34">
        <f>H295*0.373241712*(23.875/24)</f>
        <v>227.21862528172048</v>
      </c>
      <c r="J295" s="34"/>
      <c r="K295" s="34">
        <f>I295+J295</f>
        <v>227.21862528172048</v>
      </c>
      <c r="L295" s="34">
        <f>64.6380973378644*K295</f>
        <v>14686.979617935584</v>
      </c>
      <c r="M295" s="34">
        <f>F295+L295</f>
        <v>28923.955784029276</v>
      </c>
      <c r="O295" s="4">
        <f>F295/M295</f>
        <v>0.49222092138430174</v>
      </c>
      <c r="P295" s="4">
        <f>L295/M295</f>
        <v>0.5077790786156983</v>
      </c>
    </row>
    <row r="296" spans="1:16" ht="12.75">
      <c r="A296" s="33">
        <v>1523</v>
      </c>
      <c r="B296" s="20"/>
      <c r="C296" s="34">
        <v>3031.38</v>
      </c>
      <c r="E296" s="34">
        <f>C296+D296</f>
        <v>3031.38</v>
      </c>
      <c r="F296" s="34">
        <f>5.79292257485553*E296</f>
        <v>17560.54963496556</v>
      </c>
      <c r="H296" s="36">
        <v>380.854</v>
      </c>
      <c r="I296" s="34">
        <f>H296*0.373241712*(23.875/24)</f>
        <v>141.4102312790165</v>
      </c>
      <c r="J296" s="34"/>
      <c r="K296" s="34">
        <f>I296+J296</f>
        <v>141.4102312790165</v>
      </c>
      <c r="L296" s="34">
        <f>64.6380973378644*K296</f>
        <v>9140.488293982984</v>
      </c>
      <c r="M296" s="34">
        <f>F296+L296</f>
        <v>26701.037928948543</v>
      </c>
      <c r="O296" s="4">
        <f>F296/M296</f>
        <v>0.6576729219925525</v>
      </c>
      <c r="P296" s="4">
        <f>L296/M296</f>
        <v>0.34232707800744755</v>
      </c>
    </row>
    <row r="297" spans="1:16" ht="12.75">
      <c r="A297" s="33">
        <v>1524</v>
      </c>
      <c r="B297" s="20"/>
      <c r="C297" s="34">
        <f>(C296+C298)/2</f>
        <v>4342.307500000001</v>
      </c>
      <c r="E297" s="34">
        <f>C297+D297</f>
        <v>4342.307500000001</v>
      </c>
      <c r="F297" s="34">
        <f>5.79292257485553*E297</f>
        <v>25154.651143714484</v>
      </c>
      <c r="H297" s="36"/>
      <c r="I297" s="34">
        <f>(I296+I298)/2</f>
        <v>521.5123699134663</v>
      </c>
      <c r="J297" s="34"/>
      <c r="K297" s="34">
        <f>I297+J297</f>
        <v>521.5123699134663</v>
      </c>
      <c r="L297" s="34">
        <f>64.6380973378644*K297</f>
        <v>33709.567329366975</v>
      </c>
      <c r="M297" s="34">
        <f>F297+L297</f>
        <v>58864.21847308146</v>
      </c>
      <c r="O297" s="4">
        <f>F297/M297</f>
        <v>0.42733347687640966</v>
      </c>
      <c r="P297" s="4">
        <f>L297/M297</f>
        <v>0.5726665231235902</v>
      </c>
    </row>
    <row r="298" spans="1:16" ht="12.75">
      <c r="A298" s="33">
        <v>1525</v>
      </c>
      <c r="B298" s="20"/>
      <c r="C298" s="34">
        <f>(C296+C300)/2</f>
        <v>5653.235000000001</v>
      </c>
      <c r="E298" s="34">
        <f>C298+D298</f>
        <v>5653.235000000001</v>
      </c>
      <c r="F298" s="34">
        <f>5.79292257485553*E298</f>
        <v>32748.752652463405</v>
      </c>
      <c r="H298" s="36"/>
      <c r="I298" s="34">
        <f>(I296+I300)/2</f>
        <v>901.6145085479161</v>
      </c>
      <c r="J298" s="34"/>
      <c r="K298" s="34">
        <f>I298+J298</f>
        <v>901.6145085479161</v>
      </c>
      <c r="L298" s="34">
        <f>64.6380973378644*K298</f>
        <v>58278.64636475097</v>
      </c>
      <c r="M298" s="34">
        <f>F298+L298</f>
        <v>91027.39901721438</v>
      </c>
      <c r="O298" s="4">
        <f>F298/M298</f>
        <v>0.3597680808859563</v>
      </c>
      <c r="P298" s="4">
        <f>L298/M298</f>
        <v>0.6402319191140436</v>
      </c>
    </row>
    <row r="299" spans="1:16" ht="12.75">
      <c r="A299" s="33">
        <v>1526</v>
      </c>
      <c r="B299" s="20"/>
      <c r="C299" s="34">
        <f>(C298+C300)/2</f>
        <v>6964.1625</v>
      </c>
      <c r="E299" s="34">
        <f>C299+D299</f>
        <v>6964.1625</v>
      </c>
      <c r="F299" s="34">
        <v>45385.5</v>
      </c>
      <c r="H299" s="36"/>
      <c r="I299" s="34">
        <f>(I298+I300)/2</f>
        <v>1281.716647182366</v>
      </c>
      <c r="J299" s="34"/>
      <c r="K299" s="34">
        <f>I299+J299</f>
        <v>1281.716647182366</v>
      </c>
      <c r="L299" s="34">
        <v>94123.33</v>
      </c>
      <c r="M299" s="34">
        <f>F299+L299</f>
        <v>139508.83000000002</v>
      </c>
      <c r="O299" s="4">
        <f>F299/M299</f>
        <v>0.3253234938605678</v>
      </c>
      <c r="P299" s="4">
        <f>L299/M299</f>
        <v>0.6746765061394321</v>
      </c>
    </row>
    <row r="300" spans="1:16" ht="12.75">
      <c r="A300" s="33">
        <v>1527</v>
      </c>
      <c r="B300" s="20"/>
      <c r="C300" s="34">
        <v>8275.09</v>
      </c>
      <c r="E300" s="34">
        <f>C300+D300</f>
        <v>8275.09</v>
      </c>
      <c r="F300" s="34">
        <f>6.51703836232909*E300</f>
        <v>53929.07898172583</v>
      </c>
      <c r="H300" s="36">
        <v>4857.156</v>
      </c>
      <c r="I300" s="34">
        <f>H300*0.373241712*(22/24)</f>
        <v>1661.8187858168158</v>
      </c>
      <c r="J300" s="34"/>
      <c r="K300" s="34">
        <f>I300+J300</f>
        <v>1661.8187858168158</v>
      </c>
      <c r="L300" s="34">
        <f>73.43517318279*K300</f>
        <v>122035.95033487165</v>
      </c>
      <c r="M300" s="34">
        <f>F300+L300</f>
        <v>175965.02931659747</v>
      </c>
      <c r="O300" s="4">
        <f>F300/M300</f>
        <v>0.3064761173920317</v>
      </c>
      <c r="P300" s="4">
        <f>L300/M300</f>
        <v>0.6935238826079684</v>
      </c>
    </row>
    <row r="301" spans="1:16" ht="12.75">
      <c r="A301" s="33">
        <v>1528</v>
      </c>
      <c r="B301" s="20"/>
      <c r="C301" s="34">
        <v>11056.15</v>
      </c>
      <c r="E301" s="34">
        <f>C301+D301</f>
        <v>11056.15</v>
      </c>
      <c r="F301" s="34">
        <f>6.51703836232909*E301</f>
        <v>72053.35368966476</v>
      </c>
      <c r="H301" s="36">
        <v>1231.063</v>
      </c>
      <c r="I301" s="34">
        <f>H301*0.373241712*(22/24)</f>
        <v>421.19372322486805</v>
      </c>
      <c r="J301" s="34"/>
      <c r="K301" s="34">
        <f>I301+J301</f>
        <v>421.19372322486805</v>
      </c>
      <c r="L301" s="34">
        <f>73.43517318279*K301</f>
        <v>30930.4340085223</v>
      </c>
      <c r="M301" s="34">
        <f>F301+L301</f>
        <v>102983.78769818705</v>
      </c>
      <c r="O301" s="4">
        <f>F301/M301</f>
        <v>0.6996572499433636</v>
      </c>
      <c r="P301" s="4">
        <f>L301/M301</f>
        <v>0.3003427500566364</v>
      </c>
    </row>
    <row r="302" spans="1:16" ht="12.75">
      <c r="A302" s="33">
        <v>1529</v>
      </c>
      <c r="B302" s="20"/>
      <c r="C302" s="34">
        <v>11056.15</v>
      </c>
      <c r="E302" s="34">
        <f>C302+D302</f>
        <v>11056.15</v>
      </c>
      <c r="F302" s="34">
        <f>6.51703836232909*E302</f>
        <v>72053.35368966476</v>
      </c>
      <c r="H302" s="36">
        <v>533.167</v>
      </c>
      <c r="I302" s="34">
        <f>H302*0.373241712*(22/24)</f>
        <v>182.41681687341202</v>
      </c>
      <c r="J302" s="34"/>
      <c r="K302" s="34">
        <f>I302+J302</f>
        <v>182.41681687341202</v>
      </c>
      <c r="L302" s="34">
        <f>73.43517318279*K302</f>
        <v>13395.8105385523</v>
      </c>
      <c r="M302" s="34">
        <f>F302+L302</f>
        <v>85449.16422821705</v>
      </c>
      <c r="O302" s="4">
        <f>F302/M302</f>
        <v>0.8432306429261864</v>
      </c>
      <c r="P302" s="4">
        <f>L302/M302</f>
        <v>0.15676935707381362</v>
      </c>
    </row>
    <row r="303" spans="1:16" ht="12.75">
      <c r="A303" s="33">
        <v>1530</v>
      </c>
      <c r="B303" s="20"/>
      <c r="C303" s="34">
        <v>8871.95</v>
      </c>
      <c r="E303" s="34">
        <f>C303+D303</f>
        <v>8871.95</v>
      </c>
      <c r="F303" s="34">
        <f>6.51703836232909*E303</f>
        <v>57818.83849866557</v>
      </c>
      <c r="H303" s="36">
        <v>394.458</v>
      </c>
      <c r="I303" s="34">
        <f>H303*0.373241712*(22/24)</f>
        <v>134.959164296088</v>
      </c>
      <c r="J303" s="34"/>
      <c r="K303" s="34">
        <f>I303+J303</f>
        <v>134.959164296088</v>
      </c>
      <c r="L303" s="34">
        <f>73.43517318279*K303</f>
        <v>9910.74960268783</v>
      </c>
      <c r="M303" s="34">
        <f>F303+L303</f>
        <v>67729.58810135341</v>
      </c>
      <c r="O303" s="4">
        <f>F303/M303</f>
        <v>0.8536717868731614</v>
      </c>
      <c r="P303" s="4">
        <f>L303/M303</f>
        <v>0.14632821312683855</v>
      </c>
    </row>
    <row r="304" spans="1:16" ht="12.75">
      <c r="A304" s="33">
        <v>1531</v>
      </c>
      <c r="B304" s="20"/>
      <c r="C304" s="34">
        <v>5016.43</v>
      </c>
      <c r="E304" s="34">
        <f>C304+D304</f>
        <v>5016.43</v>
      </c>
      <c r="F304" s="34">
        <f>6.51703836232909*E304</f>
        <v>32692.266751938518</v>
      </c>
      <c r="H304" s="36">
        <v>320.25</v>
      </c>
      <c r="I304" s="34">
        <f>H304*0.373241712*(22/24)</f>
        <v>109.569770079</v>
      </c>
      <c r="J304" s="34"/>
      <c r="K304" s="34">
        <f>I304+J304</f>
        <v>109.569770079</v>
      </c>
      <c r="L304" s="34">
        <f>73.43517318279*K304</f>
        <v>8046.275041349846</v>
      </c>
      <c r="M304" s="34">
        <f>F304+L304</f>
        <v>40738.541793288365</v>
      </c>
      <c r="O304" s="4">
        <f>F304/M304</f>
        <v>0.8024898612675562</v>
      </c>
      <c r="P304" s="4">
        <f>L304/M304</f>
        <v>0.19751013873244383</v>
      </c>
    </row>
    <row r="305" spans="1:16" ht="12.75">
      <c r="A305" s="33">
        <v>1532</v>
      </c>
      <c r="B305" s="20"/>
      <c r="C305" s="34">
        <v>5016.43</v>
      </c>
      <c r="E305" s="34">
        <f>C305+D305</f>
        <v>5016.43</v>
      </c>
      <c r="F305" s="34">
        <f>6.51703836232909*E305</f>
        <v>32692.266751938518</v>
      </c>
      <c r="H305" s="36"/>
      <c r="I305" s="34">
        <v>166.42</v>
      </c>
      <c r="J305" s="34"/>
      <c r="K305" s="34">
        <f>I305+J305</f>
        <v>166.42</v>
      </c>
      <c r="L305" s="34">
        <f>73.43517318279*K305</f>
        <v>12221.08152107991</v>
      </c>
      <c r="M305" s="34">
        <f>F305+L305</f>
        <v>44913.348273018426</v>
      </c>
      <c r="O305" s="4">
        <f>F305/M305</f>
        <v>0.7278964496970783</v>
      </c>
      <c r="P305" s="4">
        <f>L305/M305</f>
        <v>0.27210355030292166</v>
      </c>
    </row>
    <row r="306" spans="1:16" ht="12.75">
      <c r="A306" s="33">
        <v>1533</v>
      </c>
      <c r="B306" s="20"/>
      <c r="C306" s="34">
        <v>4566.78</v>
      </c>
      <c r="E306" s="34">
        <f>C306+D306</f>
        <v>4566.78</v>
      </c>
      <c r="F306" s="34">
        <f>6.51703836232909*E306</f>
        <v>29761.88045231724</v>
      </c>
      <c r="H306" s="36">
        <v>652.571</v>
      </c>
      <c r="I306" s="34">
        <f>H306*0.373241712*(22/24)</f>
        <v>223.269490804756</v>
      </c>
      <c r="J306" s="34"/>
      <c r="K306" s="34">
        <f>I306+J306</f>
        <v>223.269490804756</v>
      </c>
      <c r="L306" s="34">
        <f>73.43517318279*K306</f>
        <v>16395.833723680596</v>
      </c>
      <c r="M306" s="34">
        <f>F306+L306</f>
        <v>46157.71417599784</v>
      </c>
      <c r="O306" s="4">
        <f>F306/M306</f>
        <v>0.6447867053995823</v>
      </c>
      <c r="P306" s="4">
        <f>L306/M306</f>
        <v>0.3552132946004177</v>
      </c>
    </row>
    <row r="307" spans="1:16" ht="12.75">
      <c r="A307" s="33">
        <v>1534</v>
      </c>
      <c r="B307" s="20"/>
      <c r="C307" s="34">
        <v>4242.26</v>
      </c>
      <c r="E307" s="34">
        <f>C307+D307</f>
        <v>4242.26</v>
      </c>
      <c r="F307" s="34">
        <f>6.51703836232909*E307</f>
        <v>27646.971162974205</v>
      </c>
      <c r="H307" s="36">
        <v>652.571</v>
      </c>
      <c r="I307" s="34">
        <f>H307*0.373241712*(22/24)</f>
        <v>223.269490804756</v>
      </c>
      <c r="J307" s="34"/>
      <c r="K307" s="34">
        <f>I307+J307</f>
        <v>223.269490804756</v>
      </c>
      <c r="L307" s="34">
        <f>73.43517318279*K307</f>
        <v>16395.833723680596</v>
      </c>
      <c r="M307" s="34">
        <f>F307+L307</f>
        <v>44042.804886654805</v>
      </c>
      <c r="O307" s="4">
        <f>F307/M307</f>
        <v>0.6277295743112714</v>
      </c>
      <c r="P307" s="4">
        <f>L307/M307</f>
        <v>0.37227042568872853</v>
      </c>
    </row>
    <row r="308" spans="1:16" ht="12.75">
      <c r="A308" s="33">
        <v>1535</v>
      </c>
      <c r="B308" s="20"/>
      <c r="C308" s="34">
        <v>4242.26</v>
      </c>
      <c r="E308" s="34">
        <f>C308+D308</f>
        <v>4242.26</v>
      </c>
      <c r="F308" s="34">
        <f>6.51703836232909*E308</f>
        <v>27646.971162974205</v>
      </c>
      <c r="H308" s="36">
        <v>652.571</v>
      </c>
      <c r="I308" s="34">
        <f>H308*0.373241712*(22/24)</f>
        <v>223.269490804756</v>
      </c>
      <c r="J308" s="34"/>
      <c r="K308" s="34">
        <f>I308+J308</f>
        <v>223.269490804756</v>
      </c>
      <c r="L308" s="34">
        <f>73.43517318279*K308</f>
        <v>16395.833723680596</v>
      </c>
      <c r="M308" s="34">
        <f>F308+L308</f>
        <v>44042.804886654805</v>
      </c>
      <c r="O308" s="4">
        <f>F308/M308</f>
        <v>0.6277295743112714</v>
      </c>
      <c r="P308" s="4">
        <f>L308/M308</f>
        <v>0.37227042568872853</v>
      </c>
    </row>
    <row r="309" spans="1:16" ht="12.75">
      <c r="A309" s="33">
        <v>1536</v>
      </c>
      <c r="B309" s="20"/>
      <c r="C309" s="34">
        <v>5383.3</v>
      </c>
      <c r="E309" s="34">
        <f>C309+D309</f>
        <v>5383.3</v>
      </c>
      <c r="F309" s="34">
        <f>6.51703836232909*E309</f>
        <v>35083.17261592619</v>
      </c>
      <c r="H309" s="36">
        <f>346.563+831.817</f>
        <v>1178.38</v>
      </c>
      <c r="I309" s="34">
        <f>128.678+284.596</f>
        <v>413.274</v>
      </c>
      <c r="J309" s="34"/>
      <c r="K309" s="34">
        <f>I309+J309</f>
        <v>413.274</v>
      </c>
      <c r="L309" s="34">
        <f>346.563*27+(831.817*25.125)</f>
        <v>30256.603125</v>
      </c>
      <c r="M309" s="34">
        <f>F309+L309</f>
        <v>65339.77574092619</v>
      </c>
      <c r="O309" s="4">
        <f>F309/M309</f>
        <v>0.5369343897816825</v>
      </c>
      <c r="P309" s="4">
        <f>L309/M309</f>
        <v>0.46306561021831744</v>
      </c>
    </row>
    <row r="310" spans="1:16" ht="12.75">
      <c r="A310" s="33">
        <v>1537</v>
      </c>
      <c r="B310" s="20"/>
      <c r="C310" s="34">
        <v>6524.34</v>
      </c>
      <c r="E310" s="34">
        <f>C310+D310</f>
        <v>6524.34</v>
      </c>
      <c r="F310" s="34">
        <f>6.51703836232909*E310</f>
        <v>42519.374068878176</v>
      </c>
      <c r="H310" s="36">
        <f>1011.063+31.458+400</f>
        <v>1442.521</v>
      </c>
      <c r="I310" s="34">
        <f>345.923+11.68+148.519</f>
        <v>506.122</v>
      </c>
      <c r="J310" s="34"/>
      <c r="K310" s="34">
        <f>I310+J310</f>
        <v>506.122</v>
      </c>
      <c r="L310" s="34">
        <f>(1011.063*25.125)+27*(31.458+400)</f>
        <v>37052.323875</v>
      </c>
      <c r="M310" s="34">
        <f>F310+L310</f>
        <v>79571.69794387819</v>
      </c>
      <c r="O310" s="4">
        <f>F310/M310</f>
        <v>0.5343529818713563</v>
      </c>
      <c r="P310" s="4">
        <f>L310/M310</f>
        <v>0.4656470181286437</v>
      </c>
    </row>
    <row r="311" spans="1:16" ht="12.75">
      <c r="A311" s="33">
        <v>1538</v>
      </c>
      <c r="B311" s="20"/>
      <c r="C311" s="34">
        <v>4498.05</v>
      </c>
      <c r="E311" s="34">
        <f>C311+D311</f>
        <v>4498.05</v>
      </c>
      <c r="F311" s="34">
        <f>6.51703836232909*E311</f>
        <v>29313.964405674364</v>
      </c>
      <c r="H311" s="36">
        <v>1166.243</v>
      </c>
      <c r="I311" s="34">
        <f>H311*0.373241712*(22/24)</f>
        <v>399.01632276734796</v>
      </c>
      <c r="J311" s="34"/>
      <c r="K311" s="34">
        <f>I311+J311</f>
        <v>399.01632276734796</v>
      </c>
      <c r="L311" s="34">
        <f>73.43517318279*K311</f>
        <v>29301.83276518023</v>
      </c>
      <c r="M311" s="34">
        <f>F311+L311</f>
        <v>58615.797170854596</v>
      </c>
      <c r="O311" s="4">
        <f>F311/M311</f>
        <v>0.5001034843939661</v>
      </c>
      <c r="P311" s="4">
        <f>L311/M311</f>
        <v>0.4998965156060338</v>
      </c>
    </row>
    <row r="312" spans="1:16" ht="12.75">
      <c r="A312" s="33">
        <v>1539</v>
      </c>
      <c r="B312" s="20"/>
      <c r="C312" s="34">
        <v>6007.39</v>
      </c>
      <c r="E312" s="34">
        <f>C312+D312</f>
        <v>6007.39</v>
      </c>
      <c r="F312" s="34">
        <f>6.51703836232909*E312</f>
        <v>39150.391087472155</v>
      </c>
      <c r="H312" s="36">
        <v>1166.243</v>
      </c>
      <c r="I312" s="34">
        <f>H312*0.373241712*(22/24)</f>
        <v>399.01632276734796</v>
      </c>
      <c r="J312" s="34"/>
      <c r="K312" s="34">
        <f>I312+J312</f>
        <v>399.01632276734796</v>
      </c>
      <c r="L312" s="34">
        <f>73.43517318279*K312</f>
        <v>29301.83276518023</v>
      </c>
      <c r="M312" s="34">
        <f>F312+L312</f>
        <v>68452.22385265239</v>
      </c>
      <c r="O312" s="4">
        <f>F312/M312</f>
        <v>0.5719374606695872</v>
      </c>
      <c r="P312" s="4">
        <f>L312/M312</f>
        <v>0.4280625393304127</v>
      </c>
    </row>
    <row r="313" spans="1:16" ht="12.75">
      <c r="A313" s="33">
        <v>1540</v>
      </c>
      <c r="B313" s="20"/>
      <c r="C313" s="34">
        <v>6007.39</v>
      </c>
      <c r="E313" s="34">
        <f>C313+D313</f>
        <v>6007.39</v>
      </c>
      <c r="F313" s="34">
        <f>6.51703836232909*E313</f>
        <v>39150.391087472155</v>
      </c>
      <c r="H313" s="36">
        <f>780.683+143.404</f>
        <v>924.087</v>
      </c>
      <c r="I313" s="34">
        <f>H313*0.373241712*(22/24)</f>
        <v>316.165496090532</v>
      </c>
      <c r="J313" s="34"/>
      <c r="K313" s="34">
        <f>I313+J313</f>
        <v>316.165496090532</v>
      </c>
      <c r="L313" s="34">
        <f>73.43517318279*K313</f>
        <v>23217.667959830927</v>
      </c>
      <c r="M313" s="34">
        <f>F313+L313</f>
        <v>62368.05904730308</v>
      </c>
      <c r="O313" s="4">
        <f>F313/M313</f>
        <v>0.6277314331327599</v>
      </c>
      <c r="P313" s="4">
        <f>L313/M313</f>
        <v>0.37226856686724014</v>
      </c>
    </row>
    <row r="314" spans="1:16" ht="12.75">
      <c r="A314" s="33">
        <v>1541</v>
      </c>
      <c r="B314" s="20"/>
      <c r="C314" s="34">
        <v>6007.39</v>
      </c>
      <c r="E314" s="34">
        <f>C314+D314</f>
        <v>6007.39</v>
      </c>
      <c r="F314" s="34">
        <f>6.51703836232909*E314</f>
        <v>39150.391087472155</v>
      </c>
      <c r="H314">
        <v>461.41600000000005</v>
      </c>
      <c r="I314" s="34">
        <v>158.70802246993193</v>
      </c>
      <c r="J314" s="39"/>
      <c r="K314" s="34">
        <f>I314+J314</f>
        <v>158.70802246993193</v>
      </c>
      <c r="L314" s="34">
        <v>11647.138875</v>
      </c>
      <c r="M314" s="34">
        <f>F314+L314</f>
        <v>50797.52996247215</v>
      </c>
      <c r="O314" s="4">
        <f>F314/M314</f>
        <v>0.7707144641953144</v>
      </c>
      <c r="P314" s="4">
        <f>L314/M314</f>
        <v>0.22928553580468564</v>
      </c>
    </row>
    <row r="315" spans="1:16" ht="12.75">
      <c r="A315" s="33">
        <v>1542</v>
      </c>
      <c r="B315" s="20"/>
      <c r="C315" s="34">
        <v>5766.23</v>
      </c>
      <c r="E315" s="34">
        <f>C315+D315</f>
        <v>5766.23</v>
      </c>
      <c r="F315" s="34">
        <v>39320.26</v>
      </c>
      <c r="H315">
        <v>431.09799999999996</v>
      </c>
      <c r="I315" s="34">
        <v>148.69346398645598</v>
      </c>
      <c r="J315" s="39"/>
      <c r="K315" s="34">
        <f>I315+J315</f>
        <v>148.69346398645598</v>
      </c>
      <c r="L315" s="34">
        <v>11114.518049999999</v>
      </c>
      <c r="M315" s="34">
        <f>F315+L315</f>
        <v>50434.77805</v>
      </c>
      <c r="O315" s="4">
        <f>F315/M315</f>
        <v>0.7796259152963597</v>
      </c>
      <c r="P315" s="4">
        <f>L315/M315</f>
        <v>0.2203740847036403</v>
      </c>
    </row>
    <row r="316" spans="1:16" ht="12.75">
      <c r="A316" s="33">
        <v>1543</v>
      </c>
      <c r="B316" s="20"/>
      <c r="C316" s="34">
        <v>4449.94</v>
      </c>
      <c r="E316" s="34">
        <f>C316+D316</f>
        <v>4449.94</v>
      </c>
      <c r="F316" s="34">
        <v>35985.97</v>
      </c>
      <c r="H316">
        <v>584.566</v>
      </c>
      <c r="I316" s="34">
        <v>204.808893522284</v>
      </c>
      <c r="J316" s="39"/>
      <c r="K316" s="34">
        <f>I316+J316</f>
        <v>204.808893522284</v>
      </c>
      <c r="L316" s="34">
        <v>15823.0383</v>
      </c>
      <c r="M316" s="34">
        <f>F316+L316</f>
        <v>51809.0083</v>
      </c>
      <c r="O316" s="4">
        <f>F316/M316</f>
        <v>0.6945890527690336</v>
      </c>
      <c r="P316" s="4">
        <f>L316/M316</f>
        <v>0.3054109472309664</v>
      </c>
    </row>
    <row r="317" spans="1:16" ht="12.75">
      <c r="A317" s="33">
        <v>1544</v>
      </c>
      <c r="B317" s="20"/>
      <c r="C317" s="34">
        <v>9556.6</v>
      </c>
      <c r="E317" s="34">
        <f>C317+D317</f>
        <v>9556.6</v>
      </c>
      <c r="F317" s="34">
        <v>80055.05</v>
      </c>
      <c r="H317" s="34">
        <v>2661.857</v>
      </c>
      <c r="I317" s="34">
        <v>949.7208145020554</v>
      </c>
      <c r="J317" s="39"/>
      <c r="K317" s="34">
        <f>I317+J317</f>
        <v>949.7208145020554</v>
      </c>
      <c r="L317" s="34">
        <v>75936.85035000001</v>
      </c>
      <c r="M317" s="34">
        <f>F317+L317</f>
        <v>155991.90035</v>
      </c>
      <c r="O317" s="4">
        <f>F317/M317</f>
        <v>0.5132000432098076</v>
      </c>
      <c r="P317" s="4">
        <f>L317/M317</f>
        <v>0.48679995679019245</v>
      </c>
    </row>
    <row r="318" spans="1:16" ht="12.75">
      <c r="A318" s="33">
        <v>1545</v>
      </c>
      <c r="B318" s="20"/>
      <c r="C318" s="34">
        <v>2755</v>
      </c>
      <c r="E318" s="34">
        <f>C318+D318</f>
        <v>2755</v>
      </c>
      <c r="F318" s="34">
        <v>309369.95</v>
      </c>
      <c r="H318" s="34">
        <v>9654.264000000001</v>
      </c>
      <c r="I318" s="34">
        <v>3357.0304967433026</v>
      </c>
      <c r="J318" s="39"/>
      <c r="K318" s="34">
        <f>I318+J318</f>
        <v>3357.0304967433026</v>
      </c>
      <c r="L318" s="34">
        <v>285465.9948</v>
      </c>
      <c r="M318" s="34">
        <f>F318+L318</f>
        <v>594835.9447999999</v>
      </c>
      <c r="O318" s="4">
        <f>F318/M318</f>
        <v>0.5200928973853768</v>
      </c>
      <c r="P318" s="4">
        <f>L318/M318</f>
        <v>0.4799071026146233</v>
      </c>
    </row>
    <row r="319" spans="1:16" ht="12.75">
      <c r="A319" s="33">
        <v>1546</v>
      </c>
      <c r="B319" s="20"/>
      <c r="C319" s="34">
        <v>28887.384</v>
      </c>
      <c r="E319" s="34">
        <f>C319+D319</f>
        <v>28887.384</v>
      </c>
      <c r="F319" s="34">
        <v>446895.84</v>
      </c>
      <c r="H319" s="34">
        <v>10594.053</v>
      </c>
      <c r="I319" s="34">
        <v>3488.581948657092</v>
      </c>
      <c r="J319" s="39"/>
      <c r="K319" s="34">
        <f>I319+J319</f>
        <v>3488.581948657092</v>
      </c>
      <c r="L319" s="34">
        <v>317821.58999999997</v>
      </c>
      <c r="M319" s="34">
        <f>F319+L319</f>
        <v>764717.4299999999</v>
      </c>
      <c r="O319" s="4">
        <f>F319/M319</f>
        <v>0.5843934275174034</v>
      </c>
      <c r="P319" s="4">
        <f>L319/M319</f>
        <v>0.4156065724825966</v>
      </c>
    </row>
    <row r="320" spans="1:16" ht="12.75">
      <c r="A320" s="33">
        <v>1547</v>
      </c>
      <c r="B320" s="20"/>
      <c r="C320" s="34">
        <v>17964.476</v>
      </c>
      <c r="E320" s="34">
        <f>C320+D320</f>
        <v>17964.476</v>
      </c>
      <c r="F320" s="34">
        <v>346542.8</v>
      </c>
      <c r="H320" s="34">
        <v>11588.934</v>
      </c>
      <c r="I320" s="34">
        <v>3604.5613053458396</v>
      </c>
      <c r="J320" s="39"/>
      <c r="K320" s="34">
        <f>I320+J320</f>
        <v>3604.5613053458396</v>
      </c>
      <c r="L320" s="34">
        <v>347668.01999999996</v>
      </c>
      <c r="M320" s="34">
        <f>F320+L320</f>
        <v>694210.82</v>
      </c>
      <c r="O320" s="4">
        <f>F320/M320</f>
        <v>0.49918956895543637</v>
      </c>
      <c r="P320" s="4">
        <f>L320/M320</f>
        <v>0.5008104310445637</v>
      </c>
    </row>
    <row r="321" spans="1:16" ht="12.75">
      <c r="A321" s="33">
        <v>1548</v>
      </c>
      <c r="B321" s="20"/>
      <c r="C321" s="34">
        <v>13473.3</v>
      </c>
      <c r="E321" s="34">
        <f>C321+D321</f>
        <v>13473.3</v>
      </c>
      <c r="F321" s="34">
        <v>259906</v>
      </c>
      <c r="H321" s="34">
        <v>5812.5</v>
      </c>
      <c r="I321" s="34">
        <v>1807.8895425</v>
      </c>
      <c r="J321" s="39"/>
      <c r="K321" s="34">
        <f>I321+J321</f>
        <v>1807.8895425</v>
      </c>
      <c r="L321" s="34">
        <v>174375</v>
      </c>
      <c r="M321" s="34">
        <f>F321+L321</f>
        <v>434281</v>
      </c>
      <c r="O321" s="4">
        <f>F321/M321</f>
        <v>0.5984742597534776</v>
      </c>
      <c r="P321" s="4">
        <f>L321/M321</f>
        <v>0.40152574024652243</v>
      </c>
    </row>
    <row r="322" spans="1:16" ht="12.75">
      <c r="A322" s="33">
        <v>1549</v>
      </c>
      <c r="B322" s="20"/>
      <c r="C322" s="34">
        <v>30210.765</v>
      </c>
      <c r="E322" s="34">
        <f>C322+D322</f>
        <v>30210.765</v>
      </c>
      <c r="F322" s="34">
        <v>582779.19</v>
      </c>
      <c r="H322" s="34">
        <v>2157.583</v>
      </c>
      <c r="I322" s="34">
        <v>709.576443723588</v>
      </c>
      <c r="J322" s="39"/>
      <c r="K322" s="34">
        <f>I322+J322</f>
        <v>709.576443723588</v>
      </c>
      <c r="L322" s="34">
        <v>69677.822</v>
      </c>
      <c r="M322" s="34">
        <f>F322+L322</f>
        <v>652457.012</v>
      </c>
      <c r="O322" s="4">
        <f>F322/M322</f>
        <v>0.8932070301667628</v>
      </c>
      <c r="P322" s="4">
        <f>L322/M322</f>
        <v>0.10679296983323708</v>
      </c>
    </row>
    <row r="323" spans="1:16" ht="12.75">
      <c r="A323" s="33">
        <v>1550</v>
      </c>
      <c r="B323" s="20"/>
      <c r="C323" s="34">
        <v>19612.73</v>
      </c>
      <c r="E323" s="34">
        <f>C323+D323</f>
        <v>19612.73</v>
      </c>
      <c r="F323" s="34">
        <v>378338.35</v>
      </c>
      <c r="H323" s="34">
        <v>1022.417</v>
      </c>
      <c r="I323" s="34">
        <v>349.807948836412</v>
      </c>
      <c r="J323" s="39"/>
      <c r="K323" s="34">
        <f>I323+J323</f>
        <v>349.807948836412</v>
      </c>
      <c r="L323" s="34">
        <v>34762.178</v>
      </c>
      <c r="M323" s="34">
        <f>F323+L323</f>
        <v>413100.528</v>
      </c>
      <c r="O323" s="4">
        <f>F323/M323</f>
        <v>0.9158505602297365</v>
      </c>
      <c r="P323" s="4">
        <f>L323/M323</f>
        <v>0.08414943977026337</v>
      </c>
    </row>
    <row r="324" spans="1:16" ht="12.75">
      <c r="A324" s="33">
        <v>1551</v>
      </c>
      <c r="B324" s="20"/>
      <c r="C324" s="34">
        <v>10462.166</v>
      </c>
      <c r="E324" s="34">
        <f>C324+D324</f>
        <v>10462.166</v>
      </c>
      <c r="F324" s="34">
        <v>288299.33</v>
      </c>
      <c r="H324" s="34">
        <v>96.448</v>
      </c>
      <c r="I324" s="34">
        <v>35.808282465231464</v>
      </c>
      <c r="J324" s="39"/>
      <c r="K324" s="34">
        <f>I324+J324</f>
        <v>35.808282465231464</v>
      </c>
      <c r="L324" s="34">
        <v>2777.7023999999997</v>
      </c>
      <c r="M324" s="34">
        <f>F324+L324</f>
        <v>291077.0324</v>
      </c>
      <c r="O324" s="4">
        <f>F324/M324</f>
        <v>0.9904571570724863</v>
      </c>
      <c r="P324" s="4">
        <f>L324/M324</f>
        <v>0.009542842927513643</v>
      </c>
    </row>
    <row r="325" spans="1:16" ht="12.75">
      <c r="A325" s="33">
        <v>1552</v>
      </c>
      <c r="B325" s="20"/>
      <c r="C325" s="34">
        <v>9567.14</v>
      </c>
      <c r="E325" s="34">
        <f>C325+D325</f>
        <v>9567.14</v>
      </c>
      <c r="F325" s="34">
        <v>83508.79</v>
      </c>
      <c r="H325" s="34">
        <v>218</v>
      </c>
      <c r="I325" s="34">
        <v>74.58613544800001</v>
      </c>
      <c r="J325" s="39"/>
      <c r="K325" s="34">
        <f>I325+J325</f>
        <v>74.58613544800001</v>
      </c>
      <c r="L325" s="34">
        <v>7194</v>
      </c>
      <c r="M325" s="34">
        <f>F325+L325</f>
        <v>90702.79</v>
      </c>
      <c r="O325" s="4">
        <f>F325/M325</f>
        <v>0.9206860119738324</v>
      </c>
      <c r="P325" s="4">
        <f>L325/M325</f>
        <v>0.07931398802616767</v>
      </c>
    </row>
    <row r="326" spans="1:16" ht="12.75">
      <c r="A326" s="33">
        <v>1553</v>
      </c>
      <c r="B326" s="20"/>
      <c r="C326" s="34">
        <f>(C325+C327)/2</f>
        <v>9299.708999999999</v>
      </c>
      <c r="E326" s="34">
        <f>(E325+E327)/2</f>
        <v>9299.708999999999</v>
      </c>
      <c r="F326" s="34">
        <f>(F325+F327)/2</f>
        <v>81353.64499999999</v>
      </c>
      <c r="H326" s="36"/>
      <c r="I326" s="34">
        <f>(I325+I327)/2</f>
        <v>151.08742919954585</v>
      </c>
      <c r="J326" s="34"/>
      <c r="K326" s="34">
        <f>I326+J326</f>
        <v>151.08742919954585</v>
      </c>
      <c r="L326" s="34">
        <f>(L325+L327)/2</f>
        <v>14631</v>
      </c>
      <c r="M326" s="34">
        <f>F326+L326</f>
        <v>95984.64499999999</v>
      </c>
      <c r="O326" s="4">
        <f>F326/M326</f>
        <v>0.8475693690381414</v>
      </c>
      <c r="P326" s="4">
        <f>L326/M326</f>
        <v>0.15243063096185855</v>
      </c>
    </row>
    <row r="327" spans="1:16" ht="12.75">
      <c r="A327" s="33">
        <v>1554</v>
      </c>
      <c r="B327" s="20"/>
      <c r="C327" s="34">
        <v>9032.278</v>
      </c>
      <c r="E327" s="34">
        <f>C327+D327</f>
        <v>9032.278</v>
      </c>
      <c r="F327" s="34">
        <v>79198.5</v>
      </c>
      <c r="H327" s="34">
        <v>613</v>
      </c>
      <c r="I327" s="34">
        <v>227.58872295109168</v>
      </c>
      <c r="J327" s="39"/>
      <c r="K327" s="34">
        <f>I327+J327</f>
        <v>227.58872295109168</v>
      </c>
      <c r="L327" s="34">
        <v>22068</v>
      </c>
      <c r="M327" s="34">
        <f>F327+L327</f>
        <v>101266.5</v>
      </c>
      <c r="O327" s="4">
        <f>F327/M327</f>
        <v>0.7820799573402852</v>
      </c>
      <c r="P327" s="4">
        <f>L327/M327</f>
        <v>0.2179200426597147</v>
      </c>
    </row>
    <row r="328" spans="1:16" ht="12.75">
      <c r="A328" s="33">
        <v>1555</v>
      </c>
      <c r="B328" s="20"/>
      <c r="C328" s="34">
        <v>8782.983</v>
      </c>
      <c r="E328" s="34">
        <f>C328+D328</f>
        <v>8782.983</v>
      </c>
      <c r="F328" s="34">
        <v>77012.58</v>
      </c>
      <c r="H328" s="34">
        <v>929.055</v>
      </c>
      <c r="I328" s="34">
        <v>344.9305725959649</v>
      </c>
      <c r="J328" s="39"/>
      <c r="K328" s="34">
        <f>I328+J328</f>
        <v>344.9305725959649</v>
      </c>
      <c r="L328" s="34">
        <v>33445.98</v>
      </c>
      <c r="M328" s="34">
        <f>F328+L328</f>
        <v>110458.56</v>
      </c>
      <c r="O328" s="4">
        <f>F328/M328</f>
        <v>0.6972078940735784</v>
      </c>
      <c r="P328" s="4">
        <f>L328/M328</f>
        <v>0.3027921059264217</v>
      </c>
    </row>
    <row r="329" spans="1:16" ht="12.75">
      <c r="A329" s="33">
        <v>1556</v>
      </c>
      <c r="B329" s="20"/>
      <c r="C329" s="34">
        <v>8707.304</v>
      </c>
      <c r="E329" s="34">
        <f>C329+D329</f>
        <v>8707.304</v>
      </c>
      <c r="F329" s="34">
        <v>76349.01</v>
      </c>
      <c r="H329" s="34">
        <v>1025</v>
      </c>
      <c r="I329" s="34">
        <v>380.55210607645836</v>
      </c>
      <c r="J329" s="39"/>
      <c r="K329" s="34">
        <f>I329+J329</f>
        <v>380.55210607645836</v>
      </c>
      <c r="L329" s="34">
        <v>36900</v>
      </c>
      <c r="M329" s="34">
        <f>F329+L329</f>
        <v>113249.01</v>
      </c>
      <c r="O329" s="4">
        <f>F329/M329</f>
        <v>0.6741693371094369</v>
      </c>
      <c r="P329" s="4">
        <f>L329/M329</f>
        <v>0.325830662890563</v>
      </c>
    </row>
    <row r="330" spans="1:16" ht="12.75">
      <c r="A330" s="33">
        <v>1557</v>
      </c>
      <c r="B330" s="20"/>
      <c r="C330" s="34">
        <f>(C329+332)/2</f>
        <v>4519.652</v>
      </c>
      <c r="E330" s="34">
        <f>C330+D330</f>
        <v>4519.652</v>
      </c>
      <c r="F330" s="34">
        <f>(F329+332)/2</f>
        <v>38340.505</v>
      </c>
      <c r="H330" s="36"/>
      <c r="I330" s="34">
        <f>(I329+332)/2</f>
        <v>356.2760530382292</v>
      </c>
      <c r="J330" s="34"/>
      <c r="K330" s="34">
        <f>I330+J330</f>
        <v>356.2760530382292</v>
      </c>
      <c r="L330" s="34">
        <f>(L329+L331)/2</f>
        <v>30004.120799999997</v>
      </c>
      <c r="M330" s="34">
        <f>F330+L330</f>
        <v>68344.6258</v>
      </c>
      <c r="O330" s="4">
        <f>F330/M330</f>
        <v>0.5609878545856345</v>
      </c>
      <c r="P330" s="4">
        <f>L330/M330</f>
        <v>0.43901214541436556</v>
      </c>
    </row>
    <row r="331" spans="1:16" ht="12.75">
      <c r="A331" s="33">
        <v>1558</v>
      </c>
      <c r="B331" s="20"/>
      <c r="C331" s="34">
        <f>(C330+C332)/2</f>
        <v>3388.9945</v>
      </c>
      <c r="E331" s="34">
        <f>C331+D331</f>
        <v>3388.9945</v>
      </c>
      <c r="F331" s="34">
        <f>(F330+F332)/2</f>
        <v>29071.2375</v>
      </c>
      <c r="H331" s="36"/>
      <c r="I331" s="34">
        <f>(I330+I332)/2</f>
        <v>261.7713859632938</v>
      </c>
      <c r="J331" s="34"/>
      <c r="K331" s="34">
        <f>I331+J331</f>
        <v>261.7713859632938</v>
      </c>
      <c r="L331" s="34">
        <f>(L330+L332)/2</f>
        <v>23108.241599999998</v>
      </c>
      <c r="M331" s="34">
        <f>F331+L331</f>
        <v>52179.4791</v>
      </c>
      <c r="O331" s="4">
        <f>F331/M331</f>
        <v>0.557139281599306</v>
      </c>
      <c r="P331" s="4">
        <f>L331/M331</f>
        <v>0.442860718400694</v>
      </c>
    </row>
    <row r="332" spans="1:16" ht="12.75">
      <c r="A332" s="33">
        <v>1559</v>
      </c>
      <c r="B332" s="20"/>
      <c r="C332" s="34">
        <v>2258.337</v>
      </c>
      <c r="E332" s="34">
        <f>C332+D332</f>
        <v>2258.337</v>
      </c>
      <c r="F332" s="34">
        <v>19801.97</v>
      </c>
      <c r="H332" s="34">
        <v>453.4593</v>
      </c>
      <c r="I332" s="34">
        <v>167.26671888835847</v>
      </c>
      <c r="J332" s="39"/>
      <c r="K332" s="34">
        <f>I332+J332</f>
        <v>167.26671888835847</v>
      </c>
      <c r="L332" s="34">
        <v>16212.362399999998</v>
      </c>
      <c r="M332" s="34">
        <f>F332+L332</f>
        <v>36014.3324</v>
      </c>
      <c r="O332" s="4">
        <f>F332/M332</f>
        <v>0.5498358203635617</v>
      </c>
      <c r="P332" s="4">
        <f>L332/M332</f>
        <v>0.45016417963643823</v>
      </c>
    </row>
    <row r="333" spans="1:16" ht="12.75">
      <c r="A333" s="33">
        <v>1560</v>
      </c>
      <c r="B333" s="20"/>
      <c r="C333" s="34">
        <v>1888.1</v>
      </c>
      <c r="E333" s="34">
        <f>C333+D333</f>
        <v>1888.1</v>
      </c>
      <c r="F333" s="34">
        <v>16555.59</v>
      </c>
      <c r="H333" s="34">
        <v>379.122</v>
      </c>
      <c r="I333" s="34">
        <v>139.84605770960857</v>
      </c>
      <c r="J333" s="39"/>
      <c r="K333" s="34">
        <f>I333+J333</f>
        <v>139.84605770960857</v>
      </c>
      <c r="L333" s="34">
        <v>13554.608999999999</v>
      </c>
      <c r="M333" s="34">
        <f>F333+L333</f>
        <v>30110.199</v>
      </c>
      <c r="O333" s="4">
        <f>F333/M333</f>
        <v>0.5498332973488484</v>
      </c>
      <c r="P333" s="4">
        <f>L333/M333</f>
        <v>0.4501667026511515</v>
      </c>
    </row>
    <row r="334" spans="1:16" ht="12.75">
      <c r="A334" s="33">
        <v>1561</v>
      </c>
      <c r="B334" s="20"/>
      <c r="C334" s="34">
        <v>81437.882</v>
      </c>
      <c r="E334" s="34">
        <f>C334+D334</f>
        <v>81437.882</v>
      </c>
      <c r="F334" s="34">
        <v>707845.48</v>
      </c>
      <c r="H334" s="34">
        <v>266.746</v>
      </c>
      <c r="I334" s="34">
        <v>95.99153580458429</v>
      </c>
      <c r="J334" s="39"/>
      <c r="K334" s="34">
        <f>I334+J334</f>
        <v>95.99153580458429</v>
      </c>
      <c r="L334" s="34">
        <v>9289.455</v>
      </c>
      <c r="M334" s="34">
        <f>F334+L334</f>
        <v>717134.9349999999</v>
      </c>
      <c r="O334" s="4">
        <f>F334/M334</f>
        <v>0.9870464335976047</v>
      </c>
      <c r="P334" s="4">
        <f>L334/M334</f>
        <v>0.01295356640239539</v>
      </c>
    </row>
    <row r="335" spans="1:16" ht="12.75">
      <c r="A335" s="33">
        <v>1562</v>
      </c>
      <c r="B335" s="20"/>
      <c r="C335" s="34">
        <v>25374.949</v>
      </c>
      <c r="E335" s="34">
        <f>C335+D335</f>
        <v>25374.949</v>
      </c>
      <c r="F335" s="34">
        <f>8.68938448310545*E335</f>
        <v>220492.68810019214</v>
      </c>
      <c r="H335" s="34">
        <v>2122.708</v>
      </c>
      <c r="I335" s="34">
        <v>727.2654733373308</v>
      </c>
      <c r="J335" s="39"/>
      <c r="K335" s="34">
        <f>I335+J335</f>
        <v>727.2654733373308</v>
      </c>
      <c r="L335" s="34">
        <v>70152.951</v>
      </c>
      <c r="M335" s="34">
        <f>F335+L335</f>
        <v>290645.6391001921</v>
      </c>
      <c r="O335" s="4">
        <f>F335/M335</f>
        <v>0.7586306430841832</v>
      </c>
      <c r="P335" s="4">
        <f>L335/M335</f>
        <v>0.24136935691581698</v>
      </c>
    </row>
    <row r="336" spans="1:16" ht="12.75">
      <c r="A336" s="33">
        <v>1563</v>
      </c>
      <c r="B336" s="20"/>
      <c r="C336" s="34">
        <v>6584.905</v>
      </c>
      <c r="E336" s="34">
        <f>C336+D336</f>
        <v>6584.905</v>
      </c>
      <c r="F336" s="34">
        <f>8.68938448310545*E336</f>
        <v>57218.77132972349</v>
      </c>
      <c r="H336" s="34">
        <v>517.4530000000001</v>
      </c>
      <c r="I336" s="34">
        <v>177.0891363910435</v>
      </c>
      <c r="J336" s="39"/>
      <c r="K336" s="34">
        <f>I336+J336</f>
        <v>177.0891363910435</v>
      </c>
      <c r="L336" s="34">
        <v>17080.962</v>
      </c>
      <c r="M336" s="34">
        <f>F336+L336</f>
        <v>74299.73332972349</v>
      </c>
      <c r="O336" s="4">
        <f>F336/M336</f>
        <v>0.7701073579335878</v>
      </c>
      <c r="P336" s="4">
        <f>L336/M336</f>
        <v>0.22989264206641222</v>
      </c>
    </row>
    <row r="337" spans="1:16" ht="12.75">
      <c r="A337" s="33">
        <v>1564</v>
      </c>
      <c r="B337" s="20"/>
      <c r="C337" s="34">
        <v>4123.182</v>
      </c>
      <c r="E337" s="34">
        <f>C337+D337</f>
        <v>4123.182</v>
      </c>
      <c r="F337" s="34">
        <f>8.68938448310545*E337</f>
        <v>35827.91369181969</v>
      </c>
      <c r="H337" s="36">
        <v>424.282</v>
      </c>
      <c r="I337" s="34">
        <f>H337*0.373241712*(22/24)</f>
        <v>145.16309504655197</v>
      </c>
      <c r="J337" s="34"/>
      <c r="K337" s="34">
        <f>I337+J337</f>
        <v>145.16309504655197</v>
      </c>
      <c r="L337" s="34">
        <f>96.4521677624705*K337</f>
        <v>14001.29519634948</v>
      </c>
      <c r="M337" s="34">
        <f>F337+L337</f>
        <v>49829.20888816917</v>
      </c>
      <c r="O337" s="4">
        <f>F337/M337</f>
        <v>0.7190142988669087</v>
      </c>
      <c r="P337" s="4">
        <f>L337/M337</f>
        <v>0.28098570113309135</v>
      </c>
    </row>
    <row r="338" spans="1:16" ht="12.75">
      <c r="A338" s="33">
        <v>1565</v>
      </c>
      <c r="B338" s="20"/>
      <c r="C338" s="34">
        <v>3795.595</v>
      </c>
      <c r="E338" s="34">
        <f>C338+D338</f>
        <v>3795.595</v>
      </c>
      <c r="F338" s="34">
        <f>8.68938448310545*E338</f>
        <v>32981.384297152625</v>
      </c>
      <c r="H338" s="36">
        <v>390.573</v>
      </c>
      <c r="I338" s="34">
        <f>H338*0.373241712*(22/24)</f>
        <v>133.629957249228</v>
      </c>
      <c r="J338" s="34"/>
      <c r="K338" s="34">
        <f>I338+J338</f>
        <v>133.629957249228</v>
      </c>
      <c r="L338" s="34">
        <f>96.4521677624705*K338</f>
        <v>12888.899054694299</v>
      </c>
      <c r="M338" s="34">
        <f>F338+L338</f>
        <v>45870.28335184693</v>
      </c>
      <c r="O338" s="4">
        <f>F338/M338</f>
        <v>0.7190141827590141</v>
      </c>
      <c r="P338" s="4">
        <f>L338/M338</f>
        <v>0.2809858172409859</v>
      </c>
    </row>
    <row r="339" spans="1:16" ht="12.75">
      <c r="A339" s="33">
        <v>1566</v>
      </c>
      <c r="B339" s="20"/>
      <c r="C339" s="34">
        <v>8769.921</v>
      </c>
      <c r="E339" s="34">
        <f>C339+D339</f>
        <v>8769.921</v>
      </c>
      <c r="F339" s="34">
        <f>8.68938448310545*E339</f>
        <v>76205.21545546062</v>
      </c>
      <c r="H339" s="36">
        <f>988.917+256.546</f>
        <v>1245.463</v>
      </c>
      <c r="I339" s="34">
        <f>H339*0.373241712*(22/24)</f>
        <v>426.12051382326797</v>
      </c>
      <c r="J339" s="34"/>
      <c r="K339" s="34">
        <f>I339+J339</f>
        <v>426.12051382326797</v>
      </c>
      <c r="L339" s="34">
        <f>96.4521677624705*K339</f>
        <v>41100.24728631197</v>
      </c>
      <c r="M339" s="34">
        <f>F339+L339</f>
        <v>117305.46274177259</v>
      </c>
      <c r="O339" s="4">
        <f>F339/M339</f>
        <v>0.649630577079032</v>
      </c>
      <c r="P339" s="4">
        <f>L339/M339</f>
        <v>0.35036942292096795</v>
      </c>
    </row>
    <row r="340" spans="1:16" ht="12.75">
      <c r="A340" s="33">
        <v>1567</v>
      </c>
      <c r="B340" s="20"/>
      <c r="C340" s="34">
        <v>12009.185</v>
      </c>
      <c r="E340" s="34">
        <f>C340+D340</f>
        <v>12009.185</v>
      </c>
      <c r="F340" s="34">
        <f>8.68938448310545*E340</f>
        <v>104352.42579374272</v>
      </c>
      <c r="H340" s="34">
        <v>579.79</v>
      </c>
      <c r="I340" s="34">
        <v>199.2262393988132</v>
      </c>
      <c r="J340" s="39"/>
      <c r="K340" s="34">
        <f>I340+J340</f>
        <v>199.2262393988132</v>
      </c>
      <c r="L340" s="34">
        <v>19221.417</v>
      </c>
      <c r="M340" s="34">
        <f>F340+L340</f>
        <v>123573.84279374272</v>
      </c>
      <c r="O340" s="4">
        <f>F340/M340</f>
        <v>0.8444539996050581</v>
      </c>
      <c r="P340" s="4">
        <f>L340/M340</f>
        <v>0.15554600039494196</v>
      </c>
    </row>
    <row r="341" spans="1:16" ht="12.75">
      <c r="A341" s="33">
        <v>1568</v>
      </c>
      <c r="B341" s="20"/>
      <c r="C341" s="34">
        <v>11703.67</v>
      </c>
      <c r="E341" s="34">
        <f>C341+D341</f>
        <v>11703.67</v>
      </c>
      <c r="F341" s="34">
        <f>8.68938448310545*E341</f>
        <v>101697.68849338675</v>
      </c>
      <c r="H341" s="34">
        <v>653.469</v>
      </c>
      <c r="I341" s="34">
        <v>227.0178159382677</v>
      </c>
      <c r="J341" s="39"/>
      <c r="K341" s="34">
        <f>I341+J341</f>
        <v>227.0178159382677</v>
      </c>
      <c r="L341" s="34">
        <v>21918.837</v>
      </c>
      <c r="M341" s="34">
        <f>F341+L341</f>
        <v>123616.52549338675</v>
      </c>
      <c r="O341" s="4">
        <f>F341/M341</f>
        <v>0.8226868380864448</v>
      </c>
      <c r="P341" s="4">
        <f>L341/M341</f>
        <v>0.17731316191355512</v>
      </c>
    </row>
    <row r="342" spans="1:16" ht="12.75">
      <c r="A342" s="33">
        <v>1569</v>
      </c>
      <c r="B342" s="20"/>
      <c r="C342" s="34">
        <v>12764.065</v>
      </c>
      <c r="E342" s="34">
        <f>C342+D342</f>
        <v>12764.065</v>
      </c>
      <c r="F342" s="34">
        <f>8.68938448310545*E342</f>
        <v>110911.86835234937</v>
      </c>
      <c r="H342" s="34">
        <v>606.1320000000001</v>
      </c>
      <c r="I342" s="34">
        <v>212.8132854706903</v>
      </c>
      <c r="J342" s="39"/>
      <c r="K342" s="34">
        <f>I342+J342</f>
        <v>212.8132854706903</v>
      </c>
      <c r="L342" s="34">
        <v>20561.775</v>
      </c>
      <c r="M342" s="34">
        <f>F342+L342</f>
        <v>131473.64335234938</v>
      </c>
      <c r="O342" s="4">
        <f>F342/M342</f>
        <v>0.8436053457125665</v>
      </c>
      <c r="P342" s="4">
        <f>L342/M342</f>
        <v>0.15639465428743343</v>
      </c>
    </row>
    <row r="343" spans="1:16" ht="12.75">
      <c r="A343" s="33">
        <v>1570</v>
      </c>
      <c r="B343" s="20"/>
      <c r="C343" s="34">
        <v>10240.318</v>
      </c>
      <c r="E343" s="34">
        <f>C343+D343</f>
        <v>10240.318</v>
      </c>
      <c r="F343" s="34">
        <f>8.68938448310545*E343</f>
        <v>88982.06033126543</v>
      </c>
      <c r="H343" s="36">
        <f>107.25+230.696</f>
        <v>337.946</v>
      </c>
      <c r="I343" s="34">
        <f>H343*0.373241712*(22/24)</f>
        <v>115.62424830325601</v>
      </c>
      <c r="J343" s="34"/>
      <c r="K343" s="34">
        <f>I343+J343</f>
        <v>115.62424830325601</v>
      </c>
      <c r="L343" s="34">
        <f>96.4521677624705*K343</f>
        <v>11152.209394755193</v>
      </c>
      <c r="M343" s="34">
        <f>F343+L343</f>
        <v>100134.26972602062</v>
      </c>
      <c r="O343" s="4">
        <f>F343/M343</f>
        <v>0.888627445676001</v>
      </c>
      <c r="P343" s="4">
        <f>L343/M343</f>
        <v>0.11137255432399894</v>
      </c>
    </row>
    <row r="344" spans="1:16" ht="12.75">
      <c r="A344" s="33">
        <v>1571</v>
      </c>
      <c r="B344" s="20"/>
      <c r="C344" s="34">
        <v>7696.356</v>
      </c>
      <c r="E344" s="34">
        <f>C344+D344</f>
        <v>7696.356</v>
      </c>
      <c r="F344" s="34">
        <f>8.68938448310545*E344</f>
        <v>66876.59640285552</v>
      </c>
      <c r="H344" s="36">
        <v>395.324</v>
      </c>
      <c r="I344" s="34">
        <f>H344*0.373241712*(22/24)</f>
        <v>135.255456008464</v>
      </c>
      <c r="J344" s="34"/>
      <c r="K344" s="34">
        <f>I344+J344</f>
        <v>135.255456008464</v>
      </c>
      <c r="L344" s="34">
        <f>96.4521677624705*K344</f>
        <v>13045.681933717817</v>
      </c>
      <c r="M344" s="34">
        <f>F344+L344</f>
        <v>79922.27833657333</v>
      </c>
      <c r="O344" s="4">
        <f>F344/M344</f>
        <v>0.8367703948731405</v>
      </c>
      <c r="P344" s="4">
        <f>L344/M344</f>
        <v>0.16322960512685944</v>
      </c>
    </row>
    <row r="345" spans="1:16" ht="12.75">
      <c r="A345" s="33">
        <v>1572</v>
      </c>
      <c r="B345" s="20"/>
      <c r="C345" s="34">
        <v>7232.253</v>
      </c>
      <c r="E345" s="34">
        <f>C345+D345</f>
        <v>7232.253</v>
      </c>
      <c r="F345" s="34">
        <f>8.68938448310545*E345</f>
        <v>62843.82699609283</v>
      </c>
      <c r="H345" s="34">
        <v>253.365</v>
      </c>
      <c r="I345" s="34">
        <v>91.6373808731588</v>
      </c>
      <c r="J345" s="39"/>
      <c r="K345" s="34">
        <f>I345+J345</f>
        <v>91.6373808731588</v>
      </c>
      <c r="L345" s="34">
        <v>8870.949</v>
      </c>
      <c r="M345" s="34">
        <f>F345+L345</f>
        <v>71714.77599609282</v>
      </c>
      <c r="O345" s="4">
        <f>F345/M345</f>
        <v>0.8763023536393211</v>
      </c>
      <c r="P345" s="4">
        <f>L345/M345</f>
        <v>0.123697646360679</v>
      </c>
    </row>
    <row r="346" spans="1:16" ht="12.75">
      <c r="A346" s="33">
        <v>1573</v>
      </c>
      <c r="B346" s="20"/>
      <c r="C346" s="34">
        <v>12528.565</v>
      </c>
      <c r="E346" s="34">
        <f>C346+D346</f>
        <v>12528.565</v>
      </c>
      <c r="F346" s="34">
        <f>8.68938448310545*E346</f>
        <v>108865.51830657803</v>
      </c>
      <c r="H346" s="36">
        <v>380.603</v>
      </c>
      <c r="I346" s="34">
        <f>H346*0.373241712*(23.875/24)</f>
        <v>141.31703554508425</v>
      </c>
      <c r="J346" s="34"/>
      <c r="K346" s="34">
        <f>I346+J346</f>
        <v>141.31703554508425</v>
      </c>
      <c r="L346" s="34">
        <f>96.9571529340017*K346</f>
        <v>13701.697427524488</v>
      </c>
      <c r="M346" s="34">
        <f>F346+L346</f>
        <v>122567.21573410252</v>
      </c>
      <c r="O346" s="4">
        <f>F346/M346</f>
        <v>0.8882107475032396</v>
      </c>
      <c r="P346" s="4">
        <f>L346/M346</f>
        <v>0.11178925249676039</v>
      </c>
    </row>
    <row r="347" spans="1:16" ht="12.75">
      <c r="A347" s="33">
        <v>1574</v>
      </c>
      <c r="B347" s="20"/>
      <c r="C347" s="34">
        <v>10450.64</v>
      </c>
      <c r="E347" s="34">
        <f>C347+D347</f>
        <v>10450.64</v>
      </c>
      <c r="F347" s="34">
        <f>8.68938448310545*E347</f>
        <v>90809.62905452112</v>
      </c>
      <c r="H347" s="36">
        <v>292.55</v>
      </c>
      <c r="I347" s="34">
        <f>H347*0.373241712*(23.875/24)</f>
        <v>108.6231552266125</v>
      </c>
      <c r="J347" s="34"/>
      <c r="K347" s="34">
        <f>I347+J347</f>
        <v>108.6231552266125</v>
      </c>
      <c r="L347" s="34">
        <f>96.9571529340017*K347</f>
        <v>10531.791873480473</v>
      </c>
      <c r="M347" s="34">
        <f>F347+L347</f>
        <v>101341.4209280016</v>
      </c>
      <c r="O347" s="4">
        <f>F347/M347</f>
        <v>0.8960761377032317</v>
      </c>
      <c r="P347" s="4">
        <f>L347/M347</f>
        <v>0.10392386229676832</v>
      </c>
    </row>
    <row r="348" spans="1:16" ht="12.75">
      <c r="A348" s="33">
        <v>1575</v>
      </c>
      <c r="B348" s="20"/>
      <c r="C348" s="34">
        <v>6123.017</v>
      </c>
      <c r="E348" s="34">
        <f>C348+D348</f>
        <v>6123.017</v>
      </c>
      <c r="F348" s="34">
        <f>8.68938448310545*E348</f>
        <v>53205.248909590875</v>
      </c>
      <c r="H348" s="36">
        <v>97.854</v>
      </c>
      <c r="I348" s="34">
        <f>H348*0.373241712*(23.875/24)</f>
        <v>36.332969514766496</v>
      </c>
      <c r="J348" s="34"/>
      <c r="K348" s="34">
        <f>I348+J348</f>
        <v>36.332969514766496</v>
      </c>
      <c r="L348" s="34">
        <f>96.9571529340017*K348</f>
        <v>3522.7412817896366</v>
      </c>
      <c r="M348" s="34">
        <f>F348+L348</f>
        <v>56727.99019138051</v>
      </c>
      <c r="O348" s="4">
        <f>F348/M348</f>
        <v>0.9379011794723358</v>
      </c>
      <c r="P348" s="4">
        <f>L348/M348</f>
        <v>0.06209882052766426</v>
      </c>
    </row>
    <row r="349" spans="1:16" ht="12.75">
      <c r="A349" s="33">
        <v>1576</v>
      </c>
      <c r="B349" s="20"/>
      <c r="C349" s="34">
        <v>6123.017</v>
      </c>
      <c r="E349" s="34">
        <f>C349+D349</f>
        <v>6123.017</v>
      </c>
      <c r="F349" s="34">
        <f>8.68938448310545*E349</f>
        <v>53205.248909590875</v>
      </c>
      <c r="H349" s="36">
        <v>97.854</v>
      </c>
      <c r="I349" s="34">
        <f>H349*0.373241712*(23.875/24)</f>
        <v>36.332969514766496</v>
      </c>
      <c r="J349" s="34"/>
      <c r="K349" s="34">
        <f>I349+J349</f>
        <v>36.332969514766496</v>
      </c>
      <c r="L349" s="34">
        <f>96.9571529340017*K349</f>
        <v>3522.7412817896366</v>
      </c>
      <c r="M349" s="34">
        <f>F349+L349</f>
        <v>56727.99019138051</v>
      </c>
      <c r="O349" s="4">
        <f>F349/M349</f>
        <v>0.9379011794723358</v>
      </c>
      <c r="P349" s="4">
        <f>L349/M349</f>
        <v>0.06209882052766426</v>
      </c>
    </row>
    <row r="350" spans="1:16" ht="12.75">
      <c r="A350" s="33">
        <v>1577</v>
      </c>
      <c r="B350" s="20"/>
      <c r="C350" s="34">
        <v>6123.017</v>
      </c>
      <c r="E350" s="34">
        <f>C350+D350</f>
        <v>6123.017</v>
      </c>
      <c r="F350" s="34">
        <f>8.68938448310545*E350</f>
        <v>53205.248909590875</v>
      </c>
      <c r="H350" s="36">
        <v>97.854</v>
      </c>
      <c r="I350" s="34">
        <f>H350*0.373241712*(23.875/24)</f>
        <v>36.332969514766496</v>
      </c>
      <c r="J350" s="34"/>
      <c r="K350" s="34">
        <f>I350+J350</f>
        <v>36.332969514766496</v>
      </c>
      <c r="L350" s="34">
        <f>96.9571529340017*K350</f>
        <v>3522.7412817896366</v>
      </c>
      <c r="M350" s="34">
        <f>F350+L350</f>
        <v>56727.99019138051</v>
      </c>
      <c r="O350" s="4">
        <f>F350/M350</f>
        <v>0.9379011794723358</v>
      </c>
      <c r="P350" s="4">
        <f>L350/M350</f>
        <v>0.06209882052766426</v>
      </c>
    </row>
    <row r="351" spans="1:16" ht="12.75">
      <c r="A351" s="33">
        <v>1578</v>
      </c>
      <c r="B351" s="20"/>
      <c r="C351" s="34">
        <v>4814.534</v>
      </c>
      <c r="E351" s="34">
        <f>C351+D351</f>
        <v>4814.534</v>
      </c>
      <c r="F351" s="34">
        <f>8.68938448310545*E351</f>
        <v>41835.33703298361</v>
      </c>
      <c r="H351" s="36">
        <v>76.942</v>
      </c>
      <c r="I351" s="34">
        <f>H351*0.373241712*(23.875/24)</f>
        <v>28.568391076554498</v>
      </c>
      <c r="J351" s="34"/>
      <c r="K351" s="34">
        <f>I351+J351</f>
        <v>28.568391076554498</v>
      </c>
      <c r="L351" s="34">
        <f>96.9571529340017*K351</f>
        <v>2769.909862687864</v>
      </c>
      <c r="M351" s="34">
        <f>F351+L351</f>
        <v>44605.24689567147</v>
      </c>
      <c r="O351" s="4">
        <f>F351/M351</f>
        <v>0.9379017031524007</v>
      </c>
      <c r="P351" s="4">
        <f>L351/M351</f>
        <v>0.062098296847599294</v>
      </c>
    </row>
    <row r="352" spans="1:16" ht="12.75">
      <c r="A352" s="33">
        <v>1579</v>
      </c>
      <c r="B352" s="20"/>
      <c r="C352" s="34">
        <v>12172.249</v>
      </c>
      <c r="E352" s="34">
        <f>C352+D352</f>
        <v>12172.249</v>
      </c>
      <c r="F352" s="34">
        <f>8.76507256061666*E352</f>
        <v>106690.64571089359</v>
      </c>
      <c r="H352" s="36">
        <v>343.781</v>
      </c>
      <c r="I352" s="34">
        <f>H352*0.373241712*(23.8125/24)</f>
        <v>127.31096048531364</v>
      </c>
      <c r="J352" s="34"/>
      <c r="K352" s="34">
        <f>I352+J352</f>
        <v>127.31096048531364</v>
      </c>
      <c r="L352" s="34">
        <f>97.4647889463284*K352</f>
        <v>12408.335894255448</v>
      </c>
      <c r="M352" s="34">
        <f>F352+L352</f>
        <v>119098.98160514903</v>
      </c>
      <c r="O352" s="4">
        <f>F352/M352</f>
        <v>0.8958149286667033</v>
      </c>
      <c r="P352" s="4">
        <f>L352/M352</f>
        <v>0.10418507133329674</v>
      </c>
    </row>
    <row r="353" spans="1:16" ht="12.75">
      <c r="A353" s="33">
        <v>1580</v>
      </c>
      <c r="B353" s="20"/>
      <c r="C353" s="34">
        <v>11124.858</v>
      </c>
      <c r="E353" s="34">
        <f>C353+D353</f>
        <v>11124.858</v>
      </c>
      <c r="F353" s="34">
        <f>8.76507256061666*E353</f>
        <v>97510.18759655675</v>
      </c>
      <c r="H353" s="36">
        <v>411.634</v>
      </c>
      <c r="I353" s="34">
        <f>H353*0.373241712*(23.8125/24)</f>
        <v>152.43867435492825</v>
      </c>
      <c r="J353" s="34"/>
      <c r="K353" s="34">
        <f>I353+J353</f>
        <v>152.43867435492825</v>
      </c>
      <c r="L353" s="34">
        <f>97.4647889463284*K353</f>
        <v>14857.403223261166</v>
      </c>
      <c r="M353" s="34">
        <f>F353+L353</f>
        <v>112367.59081981791</v>
      </c>
      <c r="O353" s="4">
        <f>F353/M353</f>
        <v>0.8677785728530472</v>
      </c>
      <c r="P353" s="4">
        <f>L353/M353</f>
        <v>0.1322214271469529</v>
      </c>
    </row>
    <row r="354" spans="1:16" ht="12.75">
      <c r="A354" s="33">
        <v>1581</v>
      </c>
      <c r="B354" s="20"/>
      <c r="C354" s="34">
        <v>10320.323</v>
      </c>
      <c r="E354" s="34">
        <f>C354+D354</f>
        <v>10320.323</v>
      </c>
      <c r="F354" s="34">
        <f>8.76507256061666*E354</f>
        <v>90458.37994400102</v>
      </c>
      <c r="H354" s="36">
        <v>585.389</v>
      </c>
      <c r="I354" s="34">
        <f>H354*0.373241712*(23.8125/24)</f>
        <v>216.78462697920264</v>
      </c>
      <c r="J354" s="34"/>
      <c r="K354" s="34">
        <f>I354+J354</f>
        <v>216.78462697920264</v>
      </c>
      <c r="L354" s="34">
        <f>97.4647889463284*K354</f>
        <v>21128.867915336516</v>
      </c>
      <c r="M354" s="34">
        <f>F354+L354</f>
        <v>111587.24785933754</v>
      </c>
      <c r="O354" s="4">
        <f>F354/M354</f>
        <v>0.8106515903862892</v>
      </c>
      <c r="P354" s="4">
        <f>L354/M354</f>
        <v>0.18934840961371077</v>
      </c>
    </row>
    <row r="355" spans="1:16" ht="12.75">
      <c r="A355" s="33">
        <v>1582</v>
      </c>
      <c r="B355" s="20"/>
      <c r="C355" s="34">
        <v>4701.746</v>
      </c>
      <c r="E355" s="34">
        <f>C355+D355</f>
        <v>4701.746</v>
      </c>
      <c r="F355" s="34">
        <f>8.76507256061666*E355</f>
        <v>41211.14485158914</v>
      </c>
      <c r="H355" s="36">
        <v>376.438</v>
      </c>
      <c r="I355" s="34">
        <f>H355*0.373241712*(23.8125/24)</f>
        <v>139.40468886637277</v>
      </c>
      <c r="J355" s="34"/>
      <c r="K355" s="34">
        <f>I355+J355</f>
        <v>139.40468886637277</v>
      </c>
      <c r="L355" s="34">
        <f>97.4647889463284*K355</f>
        <v>13587.048578489597</v>
      </c>
      <c r="M355" s="34">
        <f>F355+L355</f>
        <v>54798.19343007874</v>
      </c>
      <c r="O355" s="4">
        <f>F355/M355</f>
        <v>0.7520529833556215</v>
      </c>
      <c r="P355" s="4">
        <f>L355/M355</f>
        <v>0.24794701664437835</v>
      </c>
    </row>
    <row r="356" spans="1:16" ht="12.75">
      <c r="A356" s="33">
        <v>1583</v>
      </c>
      <c r="B356" s="20"/>
      <c r="C356" s="34">
        <v>21267.317</v>
      </c>
      <c r="E356" s="34">
        <f>C356+D356</f>
        <v>21267.317</v>
      </c>
      <c r="F356" s="34">
        <v>185325.67</v>
      </c>
      <c r="H356" s="34">
        <v>1531.513</v>
      </c>
      <c r="I356" s="34">
        <v>567.8650426968594</v>
      </c>
      <c r="J356" s="39"/>
      <c r="K356" s="34">
        <f>I356+J356</f>
        <v>567.8650426968594</v>
      </c>
      <c r="L356" s="34">
        <v>55205.878875</v>
      </c>
      <c r="M356" s="34">
        <f>F356+L356</f>
        <v>240531.548875</v>
      </c>
      <c r="O356" s="4">
        <f>F356/M356</f>
        <v>0.7704838341032364</v>
      </c>
      <c r="P356" s="4">
        <f>L356/M356</f>
        <v>0.2295161658967636</v>
      </c>
    </row>
    <row r="357" spans="1:16" ht="12.75">
      <c r="A357" s="33">
        <v>1584</v>
      </c>
      <c r="B357" s="20"/>
      <c r="C357" s="34">
        <v>23265.339</v>
      </c>
      <c r="E357" s="34">
        <f>C357+D357</f>
        <v>23265.339</v>
      </c>
      <c r="F357" s="34">
        <f>8.68938448310545*E357</f>
        <v>202161.47570078805</v>
      </c>
      <c r="H357" s="36">
        <v>1085.019</v>
      </c>
      <c r="I357" s="34">
        <f>H357*0.373241712*(23.875/24)</f>
        <v>402.86510771090025</v>
      </c>
      <c r="J357" s="34"/>
      <c r="K357" s="34">
        <f>I357+J357</f>
        <v>402.86510771090025</v>
      </c>
      <c r="L357" s="34">
        <f>96.9571529340017*K357</f>
        <v>39060.65386009882</v>
      </c>
      <c r="M357" s="34">
        <f>F357+L357</f>
        <v>241222.12956088688</v>
      </c>
      <c r="O357" s="4">
        <f>F357/M357</f>
        <v>0.838071847175864</v>
      </c>
      <c r="P357" s="4">
        <f>L357/M357</f>
        <v>0.16192815282413597</v>
      </c>
    </row>
    <row r="358" spans="1:16" ht="12.75">
      <c r="A358" s="33">
        <v>1585</v>
      </c>
      <c r="B358" s="20"/>
      <c r="C358" s="34">
        <v>20726.845</v>
      </c>
      <c r="E358" s="34">
        <f>C358+D358</f>
        <v>20726.845</v>
      </c>
      <c r="F358" s="34">
        <f>8.68938448310545*E358</f>
        <v>180103.5253267318</v>
      </c>
      <c r="H358" s="36">
        <v>968.682</v>
      </c>
      <c r="I358" s="34">
        <f>H358*0.373241712*(23.875/24)</f>
        <v>359.6694419799195</v>
      </c>
      <c r="J358" s="34"/>
      <c r="K358" s="34">
        <f>I358+J358</f>
        <v>359.6694419799195</v>
      </c>
      <c r="L358" s="34">
        <f>96.9571529340017*K358</f>
        <v>34872.5250917341</v>
      </c>
      <c r="M358" s="34">
        <f>F358+L358</f>
        <v>214976.0504184659</v>
      </c>
      <c r="O358" s="4">
        <f>F358/M358</f>
        <v>0.8377841390989726</v>
      </c>
      <c r="P358" s="4">
        <f>L358/M358</f>
        <v>0.16221586090102735</v>
      </c>
    </row>
    <row r="359" spans="1:16" ht="12.75">
      <c r="A359" s="33">
        <v>1586</v>
      </c>
      <c r="B359" s="20"/>
      <c r="C359" s="34">
        <v>11085.608</v>
      </c>
      <c r="E359" s="34">
        <f>C359+D359</f>
        <v>11085.608</v>
      </c>
      <c r="F359" s="34">
        <f>8.68938448310545*E359</f>
        <v>96327.11014098964</v>
      </c>
      <c r="H359" s="36">
        <v>691.114</v>
      </c>
      <c r="I359" s="34">
        <f>H359*0.373241712*(23.875/24)</f>
        <v>256.6090695651515</v>
      </c>
      <c r="J359" s="34"/>
      <c r="K359" s="34">
        <f>I359+J359</f>
        <v>256.6090695651515</v>
      </c>
      <c r="L359" s="34">
        <f>96.9571529340017*K359</f>
        <v>24880.084802080277</v>
      </c>
      <c r="M359" s="34">
        <f>F359+L359</f>
        <v>121207.19494306992</v>
      </c>
      <c r="O359" s="4">
        <f>F359/M359</f>
        <v>0.7947309578959709</v>
      </c>
      <c r="P359" s="4">
        <f>L359/M359</f>
        <v>0.20526904210402905</v>
      </c>
    </row>
    <row r="360" spans="1:16" ht="12.75">
      <c r="A360" s="33">
        <v>1587</v>
      </c>
      <c r="B360" s="20"/>
      <c r="C360" s="34">
        <v>5782.155</v>
      </c>
      <c r="E360" s="34">
        <f>C360+D360</f>
        <v>5782.155</v>
      </c>
      <c r="F360" s="34">
        <f>8.68938448310545*E360</f>
        <v>50243.36793591059</v>
      </c>
      <c r="H360" s="36">
        <v>337.689</v>
      </c>
      <c r="I360" s="34">
        <f>H360*0.373241712*(23.875/24)</f>
        <v>125.38316412688276</v>
      </c>
      <c r="J360" s="34"/>
      <c r="K360" s="34">
        <f>I360+J360</f>
        <v>125.38316412688276</v>
      </c>
      <c r="L360" s="34">
        <f>96.9571529340017*K360</f>
        <v>12156.794619599208</v>
      </c>
      <c r="M360" s="34">
        <f>F360+L360</f>
        <v>62400.1625555098</v>
      </c>
      <c r="O360" s="4">
        <f>F360/M360</f>
        <v>0.805180080920706</v>
      </c>
      <c r="P360" s="4">
        <f>L360/M360</f>
        <v>0.19481991907929397</v>
      </c>
    </row>
    <row r="361" spans="1:16" ht="12.75">
      <c r="A361" s="33">
        <v>1588</v>
      </c>
      <c r="B361" s="20"/>
      <c r="C361" s="34">
        <v>4373.301</v>
      </c>
      <c r="E361" s="34">
        <f>C361+D361</f>
        <v>4373.301</v>
      </c>
      <c r="F361" s="34">
        <f>8.68938448310545*E361</f>
        <v>38001.293849349546</v>
      </c>
      <c r="H361" s="36">
        <v>532.405</v>
      </c>
      <c r="I361" s="34">
        <f>H361*0.373241712*(23.875/24)</f>
        <v>197.68077579362375</v>
      </c>
      <c r="J361" s="34"/>
      <c r="K361" s="34">
        <f>I361+J361</f>
        <v>197.68077579362375</v>
      </c>
      <c r="L361" s="34">
        <f>96.9571529340017*K361</f>
        <v>19166.56521073448</v>
      </c>
      <c r="M361" s="34">
        <f>F361+L361</f>
        <v>57167.859060084025</v>
      </c>
      <c r="O361" s="4">
        <f>F361/M361</f>
        <v>0.6647317998984321</v>
      </c>
      <c r="P361" s="4">
        <f>L361/M361</f>
        <v>0.3352682001015678</v>
      </c>
    </row>
    <row r="362" spans="1:16" ht="12.75">
      <c r="A362" s="33">
        <v>1589</v>
      </c>
      <c r="B362" s="20"/>
      <c r="C362" s="34">
        <v>4445.923</v>
      </c>
      <c r="E362" s="34">
        <f>C362+D362</f>
        <v>4445.923</v>
      </c>
      <c r="F362" s="34">
        <f>8.68938448310545*E362</f>
        <v>38632.33432928163</v>
      </c>
      <c r="H362" s="36">
        <v>542.738</v>
      </c>
      <c r="I362" s="34">
        <f>H362*0.373241712*(23.875/24)</f>
        <v>201.5173953901255</v>
      </c>
      <c r="J362" s="34"/>
      <c r="K362" s="34">
        <f>I362+J362</f>
        <v>201.5173953901255</v>
      </c>
      <c r="L362" s="34">
        <f>96.9571529340017*K362</f>
        <v>19538.552923702086</v>
      </c>
      <c r="M362" s="34">
        <f>F362+L362</f>
        <v>58170.88725298371</v>
      </c>
      <c r="O362" s="4">
        <f>F362/M362</f>
        <v>0.6641180176824635</v>
      </c>
      <c r="P362" s="4">
        <f>L362/M362</f>
        <v>0.3358819823175365</v>
      </c>
    </row>
    <row r="363" spans="1:16" ht="12.75">
      <c r="A363" s="33">
        <v>1590</v>
      </c>
      <c r="B363" s="20"/>
      <c r="C363" s="34">
        <v>6339.76</v>
      </c>
      <c r="E363" s="34">
        <f>C363+D363</f>
        <v>6339.76</v>
      </c>
      <c r="F363" s="34">
        <f>8.68938448310545*E363</f>
        <v>55088.61217061261</v>
      </c>
      <c r="H363" s="36">
        <v>390.088</v>
      </c>
      <c r="I363" s="34">
        <f>H363*0.373241712*(23.875/24)</f>
        <v>144.838794654038</v>
      </c>
      <c r="J363" s="34"/>
      <c r="K363" s="34">
        <f>I363+J363</f>
        <v>144.838794654038</v>
      </c>
      <c r="L363" s="34">
        <f>96.9571529340017*K363</f>
        <v>14043.157164048029</v>
      </c>
      <c r="M363" s="34">
        <f>F363+L363</f>
        <v>69131.76933466064</v>
      </c>
      <c r="O363" s="4">
        <f>F363/M363</f>
        <v>0.7968639122186157</v>
      </c>
      <c r="P363" s="4">
        <f>L363/M363</f>
        <v>0.2031360877813842</v>
      </c>
    </row>
    <row r="364" spans="1:16" ht="12.75">
      <c r="A364" s="33">
        <v>1591</v>
      </c>
      <c r="B364" s="20"/>
      <c r="C364" s="34">
        <v>10150.551</v>
      </c>
      <c r="E364" s="34">
        <f>C364+D364</f>
        <v>10150.551</v>
      </c>
      <c r="F364" s="34">
        <f>8.68938448310545*E364</f>
        <v>88202.0403543705</v>
      </c>
      <c r="H364" s="36">
        <v>635.246</v>
      </c>
      <c r="I364" s="34">
        <f>H364*0.373241712*(23.875/24)</f>
        <v>235.86540716145848</v>
      </c>
      <c r="J364" s="34"/>
      <c r="K364" s="34">
        <f>I364+J364</f>
        <v>235.86540716145848</v>
      </c>
      <c r="L364" s="34">
        <f>96.9571529340017*K364</f>
        <v>22868.83835399411</v>
      </c>
      <c r="M364" s="34">
        <f>F364+L364</f>
        <v>111070.87870836462</v>
      </c>
      <c r="O364" s="4">
        <f>F364/M364</f>
        <v>0.7941059022856917</v>
      </c>
      <c r="P364" s="4">
        <f>L364/M364</f>
        <v>0.2058940977143083</v>
      </c>
    </row>
    <row r="365" spans="1:16" ht="12.75">
      <c r="A365" s="33">
        <v>1592</v>
      </c>
      <c r="B365" s="20"/>
      <c r="C365" s="34">
        <v>18243.882</v>
      </c>
      <c r="E365" s="34">
        <f>C365+D365</f>
        <v>18243.882</v>
      </c>
      <c r="F365" s="34">
        <f>8.68938448310545*E365</f>
        <v>158528.10516240684</v>
      </c>
      <c r="H365" s="36">
        <v>536.545</v>
      </c>
      <c r="I365" s="34">
        <f>H365*0.373241712*(23.875/24)</f>
        <v>199.21794845688873</v>
      </c>
      <c r="J365" s="34"/>
      <c r="K365" s="34">
        <f>I365+J365</f>
        <v>199.21794845688873</v>
      </c>
      <c r="L365" s="34">
        <f>96.9571529340017*K365</f>
        <v>19315.60509573263</v>
      </c>
      <c r="M365" s="34">
        <f>F365+L365</f>
        <v>177843.71025813947</v>
      </c>
      <c r="O365" s="4">
        <f>F365/M365</f>
        <v>0.8913900015485726</v>
      </c>
      <c r="P365" s="4">
        <f>L365/M365</f>
        <v>0.1086099984514274</v>
      </c>
    </row>
    <row r="366" spans="1:16" ht="12.75">
      <c r="A366" s="33">
        <v>1593</v>
      </c>
      <c r="B366" s="20"/>
      <c r="C366" s="34">
        <v>21624.115</v>
      </c>
      <c r="E366" s="34">
        <f>C366+D366</f>
        <v>21624.115</v>
      </c>
      <c r="F366" s="34">
        <f>8.68938448310545*E366</f>
        <v>187900.2493418878</v>
      </c>
      <c r="H366" s="36">
        <v>410.639</v>
      </c>
      <c r="I366" s="34">
        <f>H366*0.373241712*(23.875/24)</f>
        <v>152.46933460639525</v>
      </c>
      <c r="J366" s="34"/>
      <c r="K366" s="34">
        <f>I366+J366</f>
        <v>152.46933460639525</v>
      </c>
      <c r="L366" s="34">
        <f>96.9571529340017*K366</f>
        <v>14782.992593177742</v>
      </c>
      <c r="M366" s="34">
        <f>F366+L366</f>
        <v>202683.24193506554</v>
      </c>
      <c r="O366" s="4">
        <f>F366/M366</f>
        <v>0.9270635675054288</v>
      </c>
      <c r="P366" s="4">
        <f>L366/M366</f>
        <v>0.07293643249457116</v>
      </c>
    </row>
    <row r="367" spans="1:16" ht="12.75">
      <c r="A367" s="33">
        <v>1594</v>
      </c>
      <c r="B367" s="20"/>
      <c r="C367" s="34">
        <v>21624.15</v>
      </c>
      <c r="E367" s="34">
        <f>C367+D367</f>
        <v>21624.15</v>
      </c>
      <c r="F367" s="34">
        <f>8.68938448310545*E367</f>
        <v>187900.55347034472</v>
      </c>
      <c r="H367" s="36">
        <v>410.639</v>
      </c>
      <c r="I367" s="34">
        <f>H367*0.373241712*(23.875/24)</f>
        <v>152.46933460639525</v>
      </c>
      <c r="J367" s="34"/>
      <c r="K367" s="34">
        <f>I367+J367</f>
        <v>152.46933460639525</v>
      </c>
      <c r="L367" s="34">
        <f>96.9571529340017*K367</f>
        <v>14782.992593177742</v>
      </c>
      <c r="M367" s="34">
        <f>F367+L367</f>
        <v>202683.54606352246</v>
      </c>
      <c r="O367" s="4">
        <f>F367/M367</f>
        <v>0.9270636769471922</v>
      </c>
      <c r="P367" s="4">
        <f>L367/M367</f>
        <v>0.07293632305280788</v>
      </c>
    </row>
    <row r="368" spans="1:16" ht="12.75">
      <c r="A368" s="33">
        <v>1595</v>
      </c>
      <c r="B368" s="20"/>
      <c r="C368" s="34">
        <v>21624.115</v>
      </c>
      <c r="E368" s="34">
        <f>C368+D368</f>
        <v>21624.115</v>
      </c>
      <c r="F368" s="34">
        <f>8.68938448310545*E368</f>
        <v>187900.2493418878</v>
      </c>
      <c r="H368" s="36">
        <v>410.639</v>
      </c>
      <c r="I368" s="34">
        <f>H368*0.373241712*(23.875/24)</f>
        <v>152.46933460639525</v>
      </c>
      <c r="J368" s="34"/>
      <c r="K368" s="34">
        <f>I368+J368</f>
        <v>152.46933460639525</v>
      </c>
      <c r="L368" s="34">
        <f>96.9571529340017*K368</f>
        <v>14782.992593177742</v>
      </c>
      <c r="M368" s="34">
        <f>F368+L368</f>
        <v>202683.24193506554</v>
      </c>
      <c r="O368" s="4">
        <f>F368/M368</f>
        <v>0.9270635675054288</v>
      </c>
      <c r="P368" s="4">
        <f>L368/M368</f>
        <v>0.07293643249457116</v>
      </c>
    </row>
    <row r="369" spans="1:16" ht="12.75">
      <c r="A369" s="33">
        <v>1596</v>
      </c>
      <c r="B369" s="20"/>
      <c r="C369" s="34">
        <v>21624.115</v>
      </c>
      <c r="E369" s="34">
        <f>C369+D369</f>
        <v>21624.115</v>
      </c>
      <c r="F369" s="34">
        <f>8.68938448310545*E369</f>
        <v>187900.2493418878</v>
      </c>
      <c r="H369" s="36">
        <v>410.639</v>
      </c>
      <c r="I369" s="34">
        <f>H369*0.373241712*(23.875/24)</f>
        <v>152.46933460639525</v>
      </c>
      <c r="J369" s="34"/>
      <c r="K369" s="34">
        <f>I369+J369</f>
        <v>152.46933460639525</v>
      </c>
      <c r="L369" s="34">
        <f>96.9571529340017*K369</f>
        <v>14782.992593177742</v>
      </c>
      <c r="M369" s="34">
        <f>F369+L369</f>
        <v>202683.24193506554</v>
      </c>
      <c r="O369" s="4">
        <f>F369/M369</f>
        <v>0.9270635675054288</v>
      </c>
      <c r="P369" s="4">
        <f>L369/M369</f>
        <v>0.07293643249457116</v>
      </c>
    </row>
    <row r="370" spans="1:16" ht="12.75">
      <c r="A370" s="33">
        <v>1597</v>
      </c>
      <c r="B370" s="20"/>
      <c r="C370" s="34">
        <v>8988.734</v>
      </c>
      <c r="E370" s="34">
        <f>C370+D370</f>
        <v>8988.734</v>
      </c>
      <c r="F370" s="34">
        <f>8.68938448310545*E370</f>
        <v>78106.56574236238</v>
      </c>
      <c r="H370" s="34">
        <v>291.577</v>
      </c>
      <c r="I370" s="34">
        <v>106.65669694226047</v>
      </c>
      <c r="J370" s="39"/>
      <c r="K370" s="34">
        <f>I370+J370</f>
        <v>106.65669694226047</v>
      </c>
      <c r="L370" s="34">
        <v>10332.294</v>
      </c>
      <c r="M370" s="34">
        <f>F370+L370</f>
        <v>88438.85974236237</v>
      </c>
      <c r="O370" s="4">
        <f>F370/M370</f>
        <v>0.8831702033461337</v>
      </c>
      <c r="P370" s="4">
        <f>L370/M370</f>
        <v>0.11682979665386632</v>
      </c>
    </row>
    <row r="371" spans="1:16" ht="12.75">
      <c r="A371" s="33">
        <v>1598</v>
      </c>
      <c r="B371" s="20"/>
      <c r="C371" s="34">
        <v>2487.543</v>
      </c>
      <c r="E371" s="34">
        <f>C371+D371</f>
        <v>2487.543</v>
      </c>
      <c r="F371" s="34">
        <f>8.68938448310545*E371</f>
        <v>21615.21754525758</v>
      </c>
      <c r="H371" s="34">
        <v>230.31799999999998</v>
      </c>
      <c r="I371" s="34">
        <v>83.09125900114684</v>
      </c>
      <c r="J371" s="39"/>
      <c r="K371" s="34">
        <f>I371+J371</f>
        <v>83.09125900114684</v>
      </c>
      <c r="L371" s="34">
        <v>8042.342999999999</v>
      </c>
      <c r="M371" s="34">
        <f>F371+L371</f>
        <v>29657.560545257576</v>
      </c>
      <c r="O371" s="4">
        <f>F371/M371</f>
        <v>0.7288265503925266</v>
      </c>
      <c r="P371" s="4">
        <f>L371/M371</f>
        <v>0.27117344960747347</v>
      </c>
    </row>
    <row r="372" spans="1:16" ht="12.75">
      <c r="A372" s="33">
        <v>1599</v>
      </c>
      <c r="B372" s="20"/>
      <c r="C372" s="34">
        <v>2487.543</v>
      </c>
      <c r="E372" s="34">
        <f>C372+D372</f>
        <v>2487.543</v>
      </c>
      <c r="F372" s="34">
        <f>8.68938448310545*E372</f>
        <v>21615.21754525758</v>
      </c>
      <c r="H372" s="34">
        <v>230.31799999999998</v>
      </c>
      <c r="I372" s="34">
        <v>83.09125900114684</v>
      </c>
      <c r="J372" s="39"/>
      <c r="K372" s="34">
        <f>I372+J372</f>
        <v>83.09125900114684</v>
      </c>
      <c r="L372" s="34">
        <v>8042.342999999999</v>
      </c>
      <c r="M372" s="34">
        <f>F372+L372</f>
        <v>29657.560545257576</v>
      </c>
      <c r="O372" s="4">
        <f>F372/M372</f>
        <v>0.7288265503925266</v>
      </c>
      <c r="P372" s="4">
        <f>L372/M372</f>
        <v>0.27117344960747347</v>
      </c>
    </row>
    <row r="373" spans="1:16" ht="12.75">
      <c r="A373" s="33">
        <v>1600</v>
      </c>
      <c r="B373" s="20"/>
      <c r="C373" s="34">
        <f>3139.34779305*(365/666)</f>
        <v>1720.513430125</v>
      </c>
      <c r="E373" s="34">
        <f>C373+D373</f>
        <v>1720.513430125</v>
      </c>
      <c r="F373" s="34">
        <f>8.68938448310545*E373</f>
        <v>14950.202702702707</v>
      </c>
      <c r="H373" s="36">
        <f>1222.52083333333*(366/667)</f>
        <v>670.828523238379</v>
      </c>
      <c r="I373" s="36">
        <f>424.391908246745*(366/667)</f>
        <v>232.87472026732937</v>
      </c>
      <c r="K373" s="34">
        <f>I373+J373</f>
        <v>232.87472026732937</v>
      </c>
      <c r="L373" s="36">
        <f>40972.875*(366/667)</f>
        <v>22482.866941529235</v>
      </c>
      <c r="M373" s="34">
        <f>F373+L373</f>
        <v>37433.069644231946</v>
      </c>
      <c r="O373" s="4">
        <f>F373/M373</f>
        <v>0.39938489802709465</v>
      </c>
      <c r="P373" s="4">
        <f>L373/M373</f>
        <v>0.6006151019729052</v>
      </c>
    </row>
    <row r="374" spans="1:16" ht="12.75">
      <c r="A374" s="33">
        <v>1601</v>
      </c>
      <c r="B374" s="20"/>
      <c r="C374" s="34"/>
      <c r="E374" s="34"/>
      <c r="F374" s="34">
        <f>8.9790306325423*E374</f>
        <v>0</v>
      </c>
      <c r="H374" s="36"/>
      <c r="I374" s="34"/>
      <c r="K374" s="34">
        <f>I374+J374</f>
        <v>0</v>
      </c>
      <c r="M374" s="34">
        <f>F374+L374</f>
        <v>0</v>
      </c>
      <c r="O374" s="4" t="e">
        <f>F374/M374</f>
        <v>#VALUE!</v>
      </c>
      <c r="P374" s="4" t="e">
        <f>L374/M374</f>
        <v>#VALUE!</v>
      </c>
    </row>
    <row r="375" spans="1:16" ht="12.75">
      <c r="A375" s="33">
        <v>1602</v>
      </c>
      <c r="B375" s="20"/>
      <c r="C375" s="34"/>
      <c r="E375" s="34"/>
      <c r="F375" s="34">
        <f>8.9790306325423*E375</f>
        <v>0</v>
      </c>
      <c r="H375" s="36"/>
      <c r="I375" s="34"/>
      <c r="K375" s="34">
        <f>I375+J375</f>
        <v>0</v>
      </c>
      <c r="M375" s="34">
        <f>F375+L375</f>
        <v>0</v>
      </c>
      <c r="O375" s="4" t="e">
        <f>F375/M375</f>
        <v>#VALUE!</v>
      </c>
      <c r="P375" s="4" t="e">
        <f>L375/M375</f>
        <v>#VALUE!</v>
      </c>
    </row>
    <row r="376" spans="1:16" ht="12.75">
      <c r="A376" s="33">
        <v>1603</v>
      </c>
      <c r="B376" s="20"/>
      <c r="C376" s="34"/>
      <c r="E376" s="34"/>
      <c r="F376" s="34">
        <f>8.9790306325423*E376</f>
        <v>0</v>
      </c>
      <c r="H376" s="36"/>
      <c r="I376" s="34"/>
      <c r="K376" s="34">
        <f>I376+J376</f>
        <v>0</v>
      </c>
      <c r="M376" s="34">
        <f>F376+L376</f>
        <v>0</v>
      </c>
      <c r="O376" s="4" t="e">
        <f>F376/M376</f>
        <v>#VALUE!</v>
      </c>
      <c r="P376" s="4" t="e">
        <f>L376/M376</f>
        <v>#VALUE!</v>
      </c>
    </row>
    <row r="377" spans="1:16" ht="12.75">
      <c r="A377" s="33">
        <v>1604</v>
      </c>
      <c r="B377" s="20"/>
      <c r="C377" s="34"/>
      <c r="E377" s="34"/>
      <c r="F377" s="34">
        <f>8.9790306325423*E377</f>
        <v>0</v>
      </c>
      <c r="H377" s="36"/>
      <c r="I377" s="34"/>
      <c r="K377" s="34">
        <f>I377+J377</f>
        <v>0</v>
      </c>
      <c r="M377" s="34">
        <f>F377+L377</f>
        <v>0</v>
      </c>
      <c r="O377" s="4" t="e">
        <f>F377/M377</f>
        <v>#VALUE!</v>
      </c>
      <c r="P377" s="4" t="e">
        <f>L377/M377</f>
        <v>#VALUE!</v>
      </c>
    </row>
    <row r="378" spans="1:16" ht="12.75">
      <c r="A378" s="33">
        <v>1605</v>
      </c>
      <c r="B378" s="20"/>
      <c r="C378" s="34"/>
      <c r="E378" s="34"/>
      <c r="F378" s="34">
        <f>8.9790306325423*E378</f>
        <v>0</v>
      </c>
      <c r="H378" s="36"/>
      <c r="I378" s="34"/>
      <c r="K378" s="34">
        <f>I378+J378</f>
        <v>0</v>
      </c>
      <c r="M378" s="34">
        <f>F378+L378</f>
        <v>0</v>
      </c>
      <c r="O378" s="4" t="e">
        <f>F378/M378</f>
        <v>#VALUE!</v>
      </c>
      <c r="P378" s="4" t="e">
        <f>L378/M378</f>
        <v>#VALUE!</v>
      </c>
    </row>
    <row r="379" spans="1:16" ht="12.75">
      <c r="A379" s="33">
        <v>1606</v>
      </c>
      <c r="B379" s="20"/>
      <c r="C379" s="34"/>
      <c r="E379" s="34"/>
      <c r="F379" s="34">
        <f>8.9790306325423*E379</f>
        <v>0</v>
      </c>
      <c r="H379" s="36"/>
      <c r="I379" s="34"/>
      <c r="K379" s="34">
        <f>I379+J379</f>
        <v>0</v>
      </c>
      <c r="M379" s="34">
        <f>F379+L379</f>
        <v>0</v>
      </c>
      <c r="O379" s="4" t="e">
        <f>F379/M379</f>
        <v>#VALUE!</v>
      </c>
      <c r="P379" s="4" t="e">
        <f>L379/M379</f>
        <v>#VALUE!</v>
      </c>
    </row>
    <row r="380" spans="1:16" ht="12.75">
      <c r="A380" s="33">
        <v>1607</v>
      </c>
      <c r="B380" s="20"/>
      <c r="C380" s="34"/>
      <c r="E380" s="34"/>
      <c r="F380" s="34">
        <f>8.9790306325423*E380</f>
        <v>0</v>
      </c>
      <c r="H380" s="36"/>
      <c r="I380" s="34"/>
      <c r="K380" s="34">
        <f>I380+J380</f>
        <v>0</v>
      </c>
      <c r="M380" s="34">
        <f>F380+L380</f>
        <v>0</v>
      </c>
      <c r="O380" s="4" t="e">
        <f>F380/M380</f>
        <v>#VALUE!</v>
      </c>
      <c r="P380" s="4" t="e">
        <f>L380/M380</f>
        <v>#VALUE!</v>
      </c>
    </row>
    <row r="381" spans="1:16" ht="12.75">
      <c r="A381" s="33">
        <v>1608</v>
      </c>
      <c r="B381" s="20"/>
      <c r="C381" s="34"/>
      <c r="E381" s="34"/>
      <c r="F381" s="34">
        <f>8.9790306325423*E381</f>
        <v>0</v>
      </c>
      <c r="H381" s="36"/>
      <c r="I381" s="34"/>
      <c r="K381" s="34">
        <f>I381+J381</f>
        <v>0</v>
      </c>
      <c r="M381" s="34">
        <f>F381+L381</f>
        <v>0</v>
      </c>
      <c r="O381" s="4" t="e">
        <f>F381/M381</f>
        <v>#VALUE!</v>
      </c>
      <c r="P381" s="4" t="e">
        <f>L381/M381</f>
        <v>#VALUE!</v>
      </c>
    </row>
    <row r="382" spans="1:16" ht="12.75">
      <c r="A382" s="33">
        <v>1609</v>
      </c>
      <c r="B382" s="20"/>
      <c r="C382" s="34"/>
      <c r="E382" s="34"/>
      <c r="F382" s="34">
        <f>8.9790306325423*E382</f>
        <v>0</v>
      </c>
      <c r="H382" s="36"/>
      <c r="I382" s="34"/>
      <c r="K382" s="34">
        <f>I382+J382</f>
        <v>0</v>
      </c>
      <c r="M382" s="34">
        <f>F382+L382</f>
        <v>0</v>
      </c>
      <c r="O382" s="4" t="e">
        <f>F382/M382</f>
        <v>#VALUE!</v>
      </c>
      <c r="P382" s="4" t="e">
        <f>L382/M382</f>
        <v>#VALUE!</v>
      </c>
    </row>
    <row r="383" spans="1:16" ht="12.75">
      <c r="A383" s="33">
        <v>1610</v>
      </c>
      <c r="B383" s="20"/>
      <c r="C383" s="34"/>
      <c r="E383" s="34"/>
      <c r="F383" s="34">
        <f>8.9790306325423*E383</f>
        <v>0</v>
      </c>
      <c r="H383" s="36"/>
      <c r="I383" s="34"/>
      <c r="K383" s="34">
        <f>I383+J383</f>
        <v>0</v>
      </c>
      <c r="M383" s="34">
        <f>F383+L383</f>
        <v>0</v>
      </c>
      <c r="O383" s="4" t="e">
        <f>F383/M383</f>
        <v>#VALUE!</v>
      </c>
      <c r="P383" s="4" t="e">
        <f>L383/M383</f>
        <v>#VALUE!</v>
      </c>
    </row>
    <row r="384" spans="1:16" ht="12.75">
      <c r="A384" s="33">
        <v>1611</v>
      </c>
      <c r="B384" s="20"/>
      <c r="C384" s="34"/>
      <c r="E384" s="34"/>
      <c r="F384" s="34">
        <f>8.9790306325423*E384</f>
        <v>0</v>
      </c>
      <c r="H384" s="36"/>
      <c r="I384" s="34"/>
      <c r="K384" s="34">
        <f>I384+J384</f>
        <v>0</v>
      </c>
      <c r="M384" s="34">
        <f>F384+L384</f>
        <v>0</v>
      </c>
      <c r="O384" s="4" t="e">
        <f>F384/M384</f>
        <v>#VALUE!</v>
      </c>
      <c r="P384" s="4" t="e">
        <f>L384/M384</f>
        <v>#VALUE!</v>
      </c>
    </row>
    <row r="385" spans="1:16" ht="12.75">
      <c r="A385" s="33">
        <v>1612</v>
      </c>
      <c r="B385" s="20"/>
      <c r="C385" s="34"/>
      <c r="E385" s="34"/>
      <c r="F385" s="34">
        <f>8.9790306325423*E385</f>
        <v>0</v>
      </c>
      <c r="H385" s="36"/>
      <c r="I385" s="34"/>
      <c r="K385" s="34">
        <f>I385+J385</f>
        <v>0</v>
      </c>
      <c r="M385" s="34">
        <f>F385+L385</f>
        <v>0</v>
      </c>
      <c r="O385" s="4" t="e">
        <f>F385/M385</f>
        <v>#VALUE!</v>
      </c>
      <c r="P385" s="4" t="e">
        <f>L385/M385</f>
        <v>#VALUE!</v>
      </c>
    </row>
    <row r="386" spans="1:16" ht="12.75">
      <c r="A386" s="33">
        <v>1613</v>
      </c>
      <c r="B386" s="20"/>
      <c r="C386" s="34"/>
      <c r="E386" s="34"/>
      <c r="F386" s="34">
        <f>8.9790306325423*E386</f>
        <v>0</v>
      </c>
      <c r="I386" s="34"/>
      <c r="K386" s="34">
        <f>I386+J386</f>
        <v>0</v>
      </c>
      <c r="M386" s="34">
        <f>F386+L386</f>
        <v>0</v>
      </c>
      <c r="O386" s="4" t="e">
        <f>F386/M386</f>
        <v>#VALUE!</v>
      </c>
      <c r="P386" s="4" t="e">
        <f>L386/M386</f>
        <v>#VALUE!</v>
      </c>
    </row>
    <row r="387" spans="1:16" ht="12.75">
      <c r="A387" s="33">
        <v>1614</v>
      </c>
      <c r="B387" s="20"/>
      <c r="C387" s="34"/>
      <c r="F387" s="34">
        <f>8.9790306325423*E387</f>
        <v>0</v>
      </c>
      <c r="I387" s="34"/>
      <c r="K387" s="34">
        <f>I387+J387</f>
        <v>0</v>
      </c>
      <c r="M387" s="34">
        <f>F387+L387</f>
        <v>0</v>
      </c>
      <c r="O387" s="4" t="e">
        <f>F387/M387</f>
        <v>#VALUE!</v>
      </c>
      <c r="P387" s="4" t="e">
        <f>L387/M387</f>
        <v>#VALUE!</v>
      </c>
    </row>
    <row r="388" spans="1:16" ht="12.75">
      <c r="A388" s="33">
        <v>1615</v>
      </c>
      <c r="B388" s="20"/>
      <c r="C388" s="34"/>
      <c r="F388" s="34">
        <f>8.9790306325423*E388</f>
        <v>0</v>
      </c>
      <c r="I388" s="34"/>
      <c r="K388" s="34">
        <f>I388+J388</f>
        <v>0</v>
      </c>
      <c r="M388" s="34">
        <f>F388+L388</f>
        <v>0</v>
      </c>
      <c r="O388" s="4" t="e">
        <f>F388/M388</f>
        <v>#VALUE!</v>
      </c>
      <c r="P388" s="4" t="e">
        <f>L388/M388</f>
        <v>#VALUE!</v>
      </c>
    </row>
    <row r="389" spans="1:16" ht="12.75">
      <c r="A389" s="33">
        <v>1616</v>
      </c>
      <c r="B389" s="20"/>
      <c r="C389" s="34"/>
      <c r="F389" s="34">
        <f>8.9790306325423*E389</f>
        <v>0</v>
      </c>
      <c r="I389" s="34"/>
      <c r="K389" s="34">
        <f>I389+J389</f>
        <v>0</v>
      </c>
      <c r="M389" s="34">
        <f>F389+L389</f>
        <v>0</v>
      </c>
      <c r="O389" s="4" t="e">
        <f>F389/M389</f>
        <v>#VALUE!</v>
      </c>
      <c r="P389" s="4" t="e">
        <f>L389/M389</f>
        <v>#VALUE!</v>
      </c>
    </row>
    <row r="390" spans="1:16" ht="12.75">
      <c r="A390" s="33">
        <v>1617</v>
      </c>
      <c r="B390" s="20"/>
      <c r="C390" s="34"/>
      <c r="F390" s="34">
        <f>8.9790306325423*E390</f>
        <v>0</v>
      </c>
      <c r="I390" s="34"/>
      <c r="K390" s="34">
        <f>I390+J390</f>
        <v>0</v>
      </c>
      <c r="M390" s="34">
        <f>F390+L390</f>
        <v>0</v>
      </c>
      <c r="O390" s="4" t="e">
        <f>F390/M390</f>
        <v>#VALUE!</v>
      </c>
      <c r="P390" s="4" t="e">
        <f>L390/M390</f>
        <v>#VALUE!</v>
      </c>
    </row>
    <row r="391" spans="1:16" ht="12.75">
      <c r="A391" s="33">
        <v>1618</v>
      </c>
      <c r="B391" s="20"/>
      <c r="C391" s="34"/>
      <c r="F391" s="34">
        <f>8.9790306325423*E391</f>
        <v>0</v>
      </c>
      <c r="I391" s="34"/>
      <c r="K391" s="34">
        <f>I391+J391</f>
        <v>0</v>
      </c>
      <c r="M391" s="34">
        <f>F391+L391</f>
        <v>0</v>
      </c>
      <c r="O391" s="4" t="e">
        <f>F391/M391</f>
        <v>#VALUE!</v>
      </c>
      <c r="P391" s="4" t="e">
        <f>L391/M391</f>
        <v>#VALUE!</v>
      </c>
    </row>
    <row r="392" spans="1:16" ht="12.75">
      <c r="A392" s="33">
        <v>1619</v>
      </c>
      <c r="B392" s="20"/>
      <c r="C392" s="34"/>
      <c r="F392" s="34">
        <f>8.9790306325423*E392</f>
        <v>0</v>
      </c>
      <c r="I392" s="34"/>
      <c r="K392" s="34">
        <f>I392+J392</f>
        <v>0</v>
      </c>
      <c r="M392" s="34">
        <f>F392+L392</f>
        <v>0</v>
      </c>
      <c r="O392" s="4" t="e">
        <f>F392/M392</f>
        <v>#VALUE!</v>
      </c>
      <c r="P392" s="4" t="e">
        <f>L392/M392</f>
        <v>#VALUE!</v>
      </c>
    </row>
    <row r="393" spans="1:16" ht="12.75">
      <c r="A393" s="33">
        <v>1620</v>
      </c>
      <c r="B393" s="20"/>
      <c r="C393" s="34"/>
      <c r="F393" s="34">
        <f>8.9790306325423*E393</f>
        <v>0</v>
      </c>
      <c r="I393" s="34"/>
      <c r="K393" s="34">
        <f>I393+J393</f>
        <v>0</v>
      </c>
      <c r="M393" s="34">
        <f>F393+L393</f>
        <v>0</v>
      </c>
      <c r="O393" s="4" t="e">
        <f>F393/M393</f>
        <v>#VALUE!</v>
      </c>
      <c r="P393" s="4" t="e">
        <f>L393/M393</f>
        <v>#VALUE!</v>
      </c>
    </row>
    <row r="394" spans="1:16" ht="12.75">
      <c r="A394" s="33">
        <v>1621</v>
      </c>
      <c r="B394" s="20"/>
      <c r="C394" s="34"/>
      <c r="F394" s="34">
        <f>8.9790306325423*E394</f>
        <v>0</v>
      </c>
      <c r="I394" s="34"/>
      <c r="K394" s="34">
        <f>I394+J394</f>
        <v>0</v>
      </c>
      <c r="M394" s="34">
        <f>F394+L394</f>
        <v>0</v>
      </c>
      <c r="O394" s="4" t="e">
        <f>F394/M394</f>
        <v>#VALUE!</v>
      </c>
      <c r="P394" s="4" t="e">
        <f>L394/M394</f>
        <v>#VALUE!</v>
      </c>
    </row>
    <row r="395" spans="1:16" ht="12.75">
      <c r="A395" s="33">
        <v>1622</v>
      </c>
      <c r="B395" s="20"/>
      <c r="C395" s="34"/>
      <c r="F395" s="34">
        <f>8.9790306325423*E395</f>
        <v>0</v>
      </c>
      <c r="I395" s="34"/>
      <c r="K395" s="34">
        <f>I395+J395</f>
        <v>0</v>
      </c>
      <c r="M395" s="34">
        <f>F395+L395</f>
        <v>0</v>
      </c>
      <c r="O395" s="4" t="e">
        <f>F395/M395</f>
        <v>#VALUE!</v>
      </c>
      <c r="P395" s="4" t="e">
        <f>L395/M395</f>
        <v>#VALUE!</v>
      </c>
    </row>
    <row r="396" spans="1:16" ht="12.75">
      <c r="A396" s="33">
        <v>1623</v>
      </c>
      <c r="B396" s="20"/>
      <c r="C396" s="34"/>
      <c r="F396" s="34">
        <f>8.9790306325423*E396</f>
        <v>0</v>
      </c>
      <c r="I396" s="34"/>
      <c r="K396" s="34">
        <f>I396+J396</f>
        <v>0</v>
      </c>
      <c r="M396" s="34">
        <f>F396+L396</f>
        <v>0</v>
      </c>
      <c r="O396" s="4" t="e">
        <f>F396/M396</f>
        <v>#VALUE!</v>
      </c>
      <c r="P396" s="4" t="e">
        <f>L396/M396</f>
        <v>#VALUE!</v>
      </c>
    </row>
    <row r="397" spans="1:16" ht="12.75">
      <c r="A397" s="33">
        <v>1624</v>
      </c>
      <c r="B397" s="20"/>
      <c r="C397" s="34"/>
      <c r="F397" s="34">
        <f>8.9790306325423*E397</f>
        <v>0</v>
      </c>
      <c r="I397" s="34"/>
      <c r="K397" s="34">
        <f>I397+J397</f>
        <v>0</v>
      </c>
      <c r="M397" s="34">
        <f>F397+L397</f>
        <v>0</v>
      </c>
      <c r="O397" s="4" t="e">
        <f>F397/M397</f>
        <v>#VALUE!</v>
      </c>
      <c r="P397" s="4" t="e">
        <f>L397/M397</f>
        <v>#VALUE!</v>
      </c>
    </row>
    <row r="398" spans="1:16" ht="12.75">
      <c r="A398" s="33">
        <v>1625</v>
      </c>
      <c r="B398" s="20"/>
      <c r="C398" s="34"/>
      <c r="F398" s="34">
        <f>8.9790306325423*E398</f>
        <v>0</v>
      </c>
      <c r="I398" s="34"/>
      <c r="K398" s="34">
        <f>I398+J398</f>
        <v>0</v>
      </c>
      <c r="M398" s="34">
        <f>F398+L398</f>
        <v>0</v>
      </c>
      <c r="O398" s="4" t="e">
        <f>F398/M398</f>
        <v>#VALUE!</v>
      </c>
      <c r="P398" s="4" t="e">
        <f>L398/M398</f>
        <v>#VALUE!</v>
      </c>
    </row>
    <row r="399" spans="1:16" ht="12.75">
      <c r="A399" s="33">
        <v>1626</v>
      </c>
      <c r="F399" s="34">
        <f>8.9790306325423*E399</f>
        <v>0</v>
      </c>
      <c r="I399" s="34"/>
      <c r="K399" s="34">
        <f>I399+J399</f>
        <v>0</v>
      </c>
      <c r="M399" s="34">
        <f>F399+L399</f>
        <v>0</v>
      </c>
      <c r="O399" s="4" t="e">
        <f>F399/M399</f>
        <v>#VALUE!</v>
      </c>
      <c r="P399" s="4" t="e">
        <f>L399/M399</f>
        <v>#VALUE!</v>
      </c>
    </row>
    <row r="400" spans="1:16" ht="12.75">
      <c r="A400" s="33">
        <v>1627</v>
      </c>
      <c r="F400" s="34">
        <f>8.9790306325423*E400</f>
        <v>0</v>
      </c>
      <c r="I400" s="34"/>
      <c r="K400" s="34">
        <f>I400+J400</f>
        <v>0</v>
      </c>
      <c r="M400" s="34">
        <f>F400+L400</f>
        <v>0</v>
      </c>
      <c r="O400" s="4" t="e">
        <f>F400/M400</f>
        <v>#VALUE!</v>
      </c>
      <c r="P400" s="4" t="e">
        <f>L400/M400</f>
        <v>#VALUE!</v>
      </c>
    </row>
    <row r="401" spans="1:16" ht="12.75">
      <c r="A401" s="33">
        <v>1628</v>
      </c>
      <c r="F401" s="34">
        <f>8.9790306325423*E401</f>
        <v>0</v>
      </c>
      <c r="I401" s="34"/>
      <c r="K401" s="34">
        <f>I401+J401</f>
        <v>0</v>
      </c>
      <c r="M401" s="34">
        <f>F401+L401</f>
        <v>0</v>
      </c>
      <c r="O401" s="4" t="e">
        <f>F401/M401</f>
        <v>#VALUE!</v>
      </c>
      <c r="P401" s="4" t="e">
        <f>L401/M401</f>
        <v>#VALUE!</v>
      </c>
    </row>
    <row r="402" spans="1:16" ht="12.75">
      <c r="A402" s="33">
        <v>1629</v>
      </c>
      <c r="F402" s="34">
        <f>8.9790306325423*E402</f>
        <v>0</v>
      </c>
      <c r="I402" s="34"/>
      <c r="K402" s="34">
        <f>I402+J402</f>
        <v>0</v>
      </c>
      <c r="M402" s="34">
        <f>F402+L402</f>
        <v>0</v>
      </c>
      <c r="O402" s="4" t="e">
        <f>F402/M402</f>
        <v>#VALUE!</v>
      </c>
      <c r="P402" s="4" t="e">
        <f>L402/M402</f>
        <v>#VALUE!</v>
      </c>
    </row>
    <row r="403" spans="1:16" ht="12.75">
      <c r="A403" s="33">
        <v>1630</v>
      </c>
      <c r="F403" s="34">
        <f>8.9790306325423*E403</f>
        <v>0</v>
      </c>
      <c r="I403" s="34"/>
      <c r="K403" s="34">
        <f>I403+J403</f>
        <v>0</v>
      </c>
      <c r="M403" s="34">
        <f>F403+L403</f>
        <v>0</v>
      </c>
      <c r="O403" s="4" t="e">
        <f>F403/M403</f>
        <v>#VALUE!</v>
      </c>
      <c r="P403" s="4" t="e">
        <f>L403/M403</f>
        <v>#VALUE!</v>
      </c>
    </row>
    <row r="404" spans="1:16" ht="12.75">
      <c r="A404" s="33">
        <v>1631</v>
      </c>
      <c r="F404" s="34">
        <f>8.9790306325423*E404</f>
        <v>0</v>
      </c>
      <c r="I404" s="34"/>
      <c r="K404" s="34">
        <f>I404+J404</f>
        <v>0</v>
      </c>
      <c r="M404" s="34">
        <f>F404+L404</f>
        <v>0</v>
      </c>
      <c r="O404" s="4" t="e">
        <f>F404/M404</f>
        <v>#VALUE!</v>
      </c>
      <c r="P404" s="4" t="e">
        <f>L404/M404</f>
        <v>#VALUE!</v>
      </c>
    </row>
    <row r="405" spans="1:16" ht="12.75">
      <c r="A405" s="33">
        <v>1632</v>
      </c>
      <c r="F405" s="34">
        <f>8.9790306325423*E405</f>
        <v>0</v>
      </c>
      <c r="I405" s="34"/>
      <c r="K405" s="34">
        <f>I405+J405</f>
        <v>0</v>
      </c>
      <c r="M405" s="34">
        <f>F405+L405</f>
        <v>0</v>
      </c>
      <c r="O405" s="4" t="e">
        <f>F405/M405</f>
        <v>#VALUE!</v>
      </c>
      <c r="P405" s="4" t="e">
        <f>L405/M405</f>
        <v>#VALUE!</v>
      </c>
    </row>
    <row r="406" spans="1:16" ht="12.75">
      <c r="A406" s="33">
        <v>1633</v>
      </c>
      <c r="F406" s="34">
        <f>8.9790306325423*E406</f>
        <v>0</v>
      </c>
      <c r="I406" s="34"/>
      <c r="K406" s="34">
        <f>I406+J406</f>
        <v>0</v>
      </c>
      <c r="M406" s="34">
        <f>F406+L406</f>
        <v>0</v>
      </c>
      <c r="O406" s="4" t="e">
        <f>F406/M406</f>
        <v>#VALUE!</v>
      </c>
      <c r="P406" s="4" t="e">
        <f>L406/M406</f>
        <v>#VALUE!</v>
      </c>
    </row>
    <row r="407" spans="1:16" ht="12.75">
      <c r="A407" s="33">
        <v>1634</v>
      </c>
      <c r="F407" s="34">
        <f>8.9790306325423*E407</f>
        <v>0</v>
      </c>
      <c r="I407" s="34"/>
      <c r="K407" s="34">
        <f>I407+J407</f>
        <v>0</v>
      </c>
      <c r="M407" s="34">
        <f>F407+L407</f>
        <v>0</v>
      </c>
      <c r="O407" s="4" t="e">
        <f>F407/M407</f>
        <v>#VALUE!</v>
      </c>
      <c r="P407" s="4" t="e">
        <f>L407/M407</f>
        <v>#VALUE!</v>
      </c>
    </row>
    <row r="408" spans="1:16" ht="12.75">
      <c r="A408" s="33">
        <v>1635</v>
      </c>
      <c r="F408" s="34">
        <f>8.9790306325423*E408</f>
        <v>0</v>
      </c>
      <c r="I408" s="34"/>
      <c r="K408" s="34">
        <f>I408+J408</f>
        <v>0</v>
      </c>
      <c r="M408" s="34">
        <f>F408+L408</f>
        <v>0</v>
      </c>
      <c r="O408" s="4" t="e">
        <f>F408/M408</f>
        <v>#VALUE!</v>
      </c>
      <c r="P408" s="4" t="e">
        <f>L408/M408</f>
        <v>#VALUE!</v>
      </c>
    </row>
    <row r="409" spans="1:16" ht="12.75">
      <c r="A409" s="33">
        <v>1636</v>
      </c>
      <c r="F409" s="34">
        <f>8.9790306325423*E409</f>
        <v>0</v>
      </c>
      <c r="I409" s="34"/>
      <c r="K409" s="34">
        <f>I409+J409</f>
        <v>0</v>
      </c>
      <c r="M409" s="34">
        <f>F409+L409</f>
        <v>0</v>
      </c>
      <c r="O409" s="4" t="e">
        <f>F409/M409</f>
        <v>#VALUE!</v>
      </c>
      <c r="P409" s="4" t="e">
        <f>L409/M409</f>
        <v>#VALUE!</v>
      </c>
    </row>
    <row r="410" spans="1:16" ht="12.75">
      <c r="A410" s="33">
        <v>1637</v>
      </c>
      <c r="F410" s="34">
        <f>8.9790306325423*E410</f>
        <v>0</v>
      </c>
      <c r="I410" s="34"/>
      <c r="K410" s="34">
        <f>I410+J410</f>
        <v>0</v>
      </c>
      <c r="M410" s="34">
        <f>F410+L410</f>
        <v>0</v>
      </c>
      <c r="O410" s="4" t="e">
        <f>F410/M410</f>
        <v>#VALUE!</v>
      </c>
      <c r="P410" s="4" t="e">
        <f>L410/M410</f>
        <v>#VALUE!</v>
      </c>
    </row>
    <row r="411" spans="1:16" ht="12.75">
      <c r="A411" s="33">
        <v>1638</v>
      </c>
      <c r="F411" s="34">
        <f>8.9790306325423*E411</f>
        <v>0</v>
      </c>
      <c r="I411" s="34"/>
      <c r="K411" s="34">
        <f>I411+J411</f>
        <v>0</v>
      </c>
      <c r="M411" s="34">
        <f>F411+L411</f>
        <v>0</v>
      </c>
      <c r="O411" s="4" t="e">
        <f>F411/M411</f>
        <v>#VALUE!</v>
      </c>
      <c r="P411" s="4" t="e">
        <f>L411/M411</f>
        <v>#VALUE!</v>
      </c>
    </row>
    <row r="412" spans="1:16" ht="12.75">
      <c r="A412" s="33">
        <v>1639</v>
      </c>
      <c r="F412" s="34">
        <f>8.9790306325423*E412</f>
        <v>0</v>
      </c>
      <c r="I412" s="34"/>
      <c r="K412" s="34">
        <f>I412+J412</f>
        <v>0</v>
      </c>
      <c r="M412" s="34">
        <f>F412+L412</f>
        <v>0</v>
      </c>
      <c r="O412" s="4" t="e">
        <f>F412/M412</f>
        <v>#VALUE!</v>
      </c>
      <c r="P412" s="4" t="e">
        <f>L412/M412</f>
        <v>#VALUE!</v>
      </c>
    </row>
    <row r="413" spans="1:16" ht="12.75">
      <c r="A413" s="33">
        <v>1640</v>
      </c>
      <c r="F413" s="34">
        <f>8.9790306325423*E413</f>
        <v>0</v>
      </c>
      <c r="I413" s="34"/>
      <c r="K413" s="34">
        <f>I413+J413</f>
        <v>0</v>
      </c>
      <c r="M413" s="34">
        <f>F413+L413</f>
        <v>0</v>
      </c>
      <c r="O413" s="4" t="e">
        <f>F413/M413</f>
        <v>#VALUE!</v>
      </c>
      <c r="P413" s="4" t="e">
        <f>L413/M413</f>
        <v>#VALUE!</v>
      </c>
    </row>
    <row r="414" spans="1:16" ht="12.75">
      <c r="A414" s="33">
        <v>1641</v>
      </c>
      <c r="F414" s="34">
        <f>8.9790306325423*E414</f>
        <v>0</v>
      </c>
      <c r="I414" s="34"/>
      <c r="K414" s="34">
        <f>I414+J414</f>
        <v>0</v>
      </c>
      <c r="M414" s="34">
        <f>F414+L414</f>
        <v>0</v>
      </c>
      <c r="O414" s="4" t="e">
        <f>F414/M414</f>
        <v>#VALUE!</v>
      </c>
      <c r="P414" s="4" t="e">
        <f>L414/M414</f>
        <v>#VALUE!</v>
      </c>
    </row>
    <row r="415" spans="1:16" ht="12.75">
      <c r="A415" s="33">
        <v>1642</v>
      </c>
      <c r="F415" s="34">
        <f>8.9790306325423*E415</f>
        <v>0</v>
      </c>
      <c r="I415" s="34"/>
      <c r="K415" s="34">
        <f>I415+J415</f>
        <v>0</v>
      </c>
      <c r="M415" s="34">
        <f>F415+L415</f>
        <v>0</v>
      </c>
      <c r="O415" s="4" t="e">
        <f>F415/M415</f>
        <v>#VALUE!</v>
      </c>
      <c r="P415" s="4" t="e">
        <f>L415/M415</f>
        <v>#VALUE!</v>
      </c>
    </row>
    <row r="416" spans="1:16" ht="12.75">
      <c r="A416" s="33">
        <v>1643</v>
      </c>
      <c r="F416" s="34">
        <f>8.9790306325423*E416</f>
        <v>0</v>
      </c>
      <c r="I416" s="34"/>
      <c r="K416" s="34">
        <f>I416+J416</f>
        <v>0</v>
      </c>
      <c r="M416" s="34">
        <f>F416+L416</f>
        <v>0</v>
      </c>
      <c r="O416" s="4" t="e">
        <f>F416/M416</f>
        <v>#VALUE!</v>
      </c>
      <c r="P416" s="4" t="e">
        <f>L416/M416</f>
        <v>#VALUE!</v>
      </c>
    </row>
    <row r="417" spans="1:16" ht="12.75">
      <c r="A417" s="33">
        <v>1644</v>
      </c>
      <c r="F417" s="34">
        <f>8.9790306325423*E417</f>
        <v>0</v>
      </c>
      <c r="I417" s="34"/>
      <c r="K417" s="34">
        <f>I417+J417</f>
        <v>0</v>
      </c>
      <c r="M417" s="34">
        <f>F417+L417</f>
        <v>0</v>
      </c>
      <c r="O417" s="4" t="e">
        <f>F417/M417</f>
        <v>#VALUE!</v>
      </c>
      <c r="P417" s="4" t="e">
        <f>L417/M417</f>
        <v>#VALUE!</v>
      </c>
    </row>
    <row r="418" spans="1:16" ht="12.75">
      <c r="A418" s="33">
        <v>1645</v>
      </c>
      <c r="F418" s="34">
        <f>8.9790306325423*E418</f>
        <v>0</v>
      </c>
      <c r="I418" s="34"/>
      <c r="K418" s="34">
        <f>I418+J418</f>
        <v>0</v>
      </c>
      <c r="M418" s="34">
        <f>F418+L418</f>
        <v>0</v>
      </c>
      <c r="O418" s="4" t="e">
        <f>F418/M418</f>
        <v>#VALUE!</v>
      </c>
      <c r="P418" s="4" t="e">
        <f>L418/M418</f>
        <v>#VALUE!</v>
      </c>
    </row>
    <row r="419" spans="1:16" ht="12.75">
      <c r="A419" s="33">
        <v>1646</v>
      </c>
      <c r="F419" s="34">
        <f>8.9790306325423*E419</f>
        <v>0</v>
      </c>
      <c r="I419" s="34"/>
      <c r="K419" s="34">
        <f>I419+J419</f>
        <v>0</v>
      </c>
      <c r="M419" s="34">
        <f>F419+L419</f>
        <v>0</v>
      </c>
      <c r="O419" s="4" t="e">
        <f>F419/M419</f>
        <v>#VALUE!</v>
      </c>
      <c r="P419" s="4" t="e">
        <f>L419/M419</f>
        <v>#VALUE!</v>
      </c>
    </row>
    <row r="420" spans="1:16" ht="12.75">
      <c r="A420" s="33">
        <v>1647</v>
      </c>
      <c r="F420" s="34">
        <f>8.9790306325423*E420</f>
        <v>0</v>
      </c>
      <c r="I420" s="34"/>
      <c r="K420" s="34">
        <f>I420+J420</f>
        <v>0</v>
      </c>
      <c r="M420" s="34">
        <f>F420+L420</f>
        <v>0</v>
      </c>
      <c r="O420" s="4" t="e">
        <f>F420/M420</f>
        <v>#VALUE!</v>
      </c>
      <c r="P420" s="4" t="e">
        <f>L420/M420</f>
        <v>#VALUE!</v>
      </c>
    </row>
    <row r="421" spans="1:16" ht="12.75">
      <c r="A421" s="33">
        <v>1648</v>
      </c>
      <c r="F421" s="34">
        <f>8.9790306325423*E421</f>
        <v>0</v>
      </c>
      <c r="I421" s="34"/>
      <c r="K421" s="34">
        <f>I421+J421</f>
        <v>0</v>
      </c>
      <c r="M421" s="34">
        <f>F421+L421</f>
        <v>0</v>
      </c>
      <c r="O421" s="4" t="e">
        <f>F421/M421</f>
        <v>#VALUE!</v>
      </c>
      <c r="P421" s="4" t="e">
        <f>L421/M421</f>
        <v>#VALUE!</v>
      </c>
    </row>
    <row r="422" spans="1:16" ht="12.75">
      <c r="A422" s="33">
        <v>1649</v>
      </c>
      <c r="F422" s="34">
        <f>8.9790306325423*E422</f>
        <v>0</v>
      </c>
      <c r="I422" s="34"/>
      <c r="K422" s="34">
        <f>I422+J422</f>
        <v>0</v>
      </c>
      <c r="M422" s="34">
        <f>F422+L422</f>
        <v>0</v>
      </c>
      <c r="O422" s="4" t="e">
        <f>F422/M422</f>
        <v>#VALUE!</v>
      </c>
      <c r="P422" s="4" t="e">
        <f>L422/M422</f>
        <v>#VALUE!</v>
      </c>
    </row>
    <row r="423" spans="1:16" ht="12.75">
      <c r="A423" s="33">
        <v>1650</v>
      </c>
      <c r="F423" s="34">
        <f>8.9790306325423*E423</f>
        <v>0</v>
      </c>
      <c r="I423" s="34"/>
      <c r="K423" s="34">
        <f>I423+J423</f>
        <v>0</v>
      </c>
      <c r="M423" s="34">
        <f>F423+L423</f>
        <v>0</v>
      </c>
      <c r="O423" s="4" t="e">
        <f>F423/M423</f>
        <v>#VALUE!</v>
      </c>
      <c r="P423" s="4" t="e">
        <f>L423/M423</f>
        <v>#VALUE!</v>
      </c>
    </row>
    <row r="424" spans="1:16" ht="12.75">
      <c r="A424" s="33">
        <v>1651</v>
      </c>
      <c r="F424" s="34">
        <f>8.9790306325423*E424</f>
        <v>0</v>
      </c>
      <c r="I424" s="34"/>
      <c r="K424" s="34">
        <f>I424+J424</f>
        <v>0</v>
      </c>
      <c r="M424" s="34">
        <f>F424+L424</f>
        <v>0</v>
      </c>
      <c r="O424" s="4" t="e">
        <f>F424/M424</f>
        <v>#VALUE!</v>
      </c>
      <c r="P424" s="4" t="e">
        <f>L424/M424</f>
        <v>#VALUE!</v>
      </c>
    </row>
    <row r="425" spans="1:16" ht="12.75">
      <c r="A425" s="33">
        <v>1652</v>
      </c>
      <c r="F425" s="34">
        <f>8.9790306325423*E425</f>
        <v>0</v>
      </c>
      <c r="I425" s="34"/>
      <c r="K425" s="34">
        <f>I425+J425</f>
        <v>0</v>
      </c>
      <c r="M425" s="34">
        <f>F425+L425</f>
        <v>0</v>
      </c>
      <c r="O425" s="4" t="e">
        <f>F425/M425</f>
        <v>#VALUE!</v>
      </c>
      <c r="P425" s="4" t="e">
        <f>L425/M425</f>
        <v>#VALUE!</v>
      </c>
    </row>
    <row r="426" spans="1:16" ht="12.75">
      <c r="A426" s="33">
        <v>1653</v>
      </c>
      <c r="F426" s="34">
        <f>8.9790306325423*E426</f>
        <v>0</v>
      </c>
      <c r="I426" s="34"/>
      <c r="K426" s="34">
        <f>I426+J426</f>
        <v>0</v>
      </c>
      <c r="M426" s="34">
        <f>F426+L426</f>
        <v>0</v>
      </c>
      <c r="O426" s="4" t="e">
        <f>F426/M426</f>
        <v>#VALUE!</v>
      </c>
      <c r="P426" s="4" t="e">
        <f>L426/M426</f>
        <v>#VALUE!</v>
      </c>
    </row>
    <row r="427" spans="1:16" ht="12.75">
      <c r="A427" s="33">
        <v>1654</v>
      </c>
      <c r="F427" s="34">
        <f>8.9790306325423*E427</f>
        <v>0</v>
      </c>
      <c r="I427" s="34"/>
      <c r="K427" s="34">
        <f>I427+J427</f>
        <v>0</v>
      </c>
      <c r="M427" s="34">
        <f>F427+L427</f>
        <v>0</v>
      </c>
      <c r="O427" s="4" t="e">
        <f>F427/M427</f>
        <v>#VALUE!</v>
      </c>
      <c r="P427" s="4" t="e">
        <f>L427/M427</f>
        <v>#VALUE!</v>
      </c>
    </row>
    <row r="428" spans="1:16" ht="12.75">
      <c r="A428" s="33">
        <v>1655</v>
      </c>
      <c r="F428" s="34">
        <f>8.9790306325423*E428</f>
        <v>0</v>
      </c>
      <c r="I428" s="34"/>
      <c r="K428" s="34">
        <f>I428+J428</f>
        <v>0</v>
      </c>
      <c r="M428" s="34">
        <f>F428+L428</f>
        <v>0</v>
      </c>
      <c r="O428" s="4" t="e">
        <f>F428/M428</f>
        <v>#VALUE!</v>
      </c>
      <c r="P428" s="4" t="e">
        <f>L428/M428</f>
        <v>#VALUE!</v>
      </c>
    </row>
    <row r="429" spans="1:16" ht="12.75">
      <c r="A429" s="33">
        <v>1656</v>
      </c>
      <c r="F429" s="34">
        <f>8.9790306325423*E429</f>
        <v>0</v>
      </c>
      <c r="I429" s="34"/>
      <c r="K429" s="34">
        <f>I429+J429</f>
        <v>0</v>
      </c>
      <c r="M429" s="34">
        <f>F429+L429</f>
        <v>0</v>
      </c>
      <c r="O429" s="4" t="e">
        <f>F429/M429</f>
        <v>#VALUE!</v>
      </c>
      <c r="P429" s="4" t="e">
        <f>L429/M429</f>
        <v>#VALUE!</v>
      </c>
    </row>
    <row r="430" spans="1:16" ht="12.75">
      <c r="A430" s="33">
        <v>1657</v>
      </c>
      <c r="F430" s="34">
        <f>8.9790306325423*E430</f>
        <v>0</v>
      </c>
      <c r="I430" s="34"/>
      <c r="K430" s="34">
        <f>I430+J430</f>
        <v>0</v>
      </c>
      <c r="M430" s="34">
        <f>F430+L430</f>
        <v>0</v>
      </c>
      <c r="O430" s="4" t="e">
        <f>F430/M430</f>
        <v>#VALUE!</v>
      </c>
      <c r="P430" s="4" t="e">
        <f>L430/M430</f>
        <v>#VALUE!</v>
      </c>
    </row>
    <row r="431" spans="1:16" ht="12.75">
      <c r="A431" s="33">
        <v>1658</v>
      </c>
      <c r="F431" s="34">
        <f>8.9790306325423*E431</f>
        <v>0</v>
      </c>
      <c r="I431" s="34"/>
      <c r="K431" s="34">
        <f>I431+J431</f>
        <v>0</v>
      </c>
      <c r="M431" s="34">
        <f>F431+L431</f>
        <v>0</v>
      </c>
      <c r="O431" s="4" t="e">
        <f>F431/M431</f>
        <v>#VALUE!</v>
      </c>
      <c r="P431" s="4" t="e">
        <f>L431/M431</f>
        <v>#VALUE!</v>
      </c>
    </row>
    <row r="432" spans="1:16" ht="12.75">
      <c r="A432" s="33">
        <v>1659</v>
      </c>
      <c r="F432" s="34">
        <f>8.9790306325423*E432</f>
        <v>0</v>
      </c>
      <c r="I432" s="34"/>
      <c r="K432" s="34">
        <f>I432+J432</f>
        <v>0</v>
      </c>
      <c r="M432" s="34">
        <f>F432+L432</f>
        <v>0</v>
      </c>
      <c r="O432" s="4" t="e">
        <f>F432/M432</f>
        <v>#VALUE!</v>
      </c>
      <c r="P432" s="4" t="e">
        <f>L432/M432</f>
        <v>#VALUE!</v>
      </c>
    </row>
    <row r="433" spans="1:16" ht="12.75">
      <c r="A433" s="33">
        <v>1660</v>
      </c>
      <c r="F433" s="34">
        <f>8.9790306325423*E433</f>
        <v>0</v>
      </c>
      <c r="I433" s="34"/>
      <c r="K433" s="34">
        <f>I433+J433</f>
        <v>0</v>
      </c>
      <c r="M433" s="34">
        <f>F433+L433</f>
        <v>0</v>
      </c>
      <c r="O433" s="4" t="e">
        <f>F433/M433</f>
        <v>#VALUE!</v>
      </c>
      <c r="P433" s="4" t="e">
        <f>L433/M433</f>
        <v>#VALUE!</v>
      </c>
    </row>
    <row r="434" spans="1:16" ht="12.75">
      <c r="A434" s="33">
        <v>1661</v>
      </c>
      <c r="F434" s="34">
        <f>8.9790306325423*E434</f>
        <v>0</v>
      </c>
      <c r="I434" s="34"/>
      <c r="K434" s="34">
        <f>I434+J434</f>
        <v>0</v>
      </c>
      <c r="M434" s="34">
        <f>F434+L434</f>
        <v>0</v>
      </c>
      <c r="O434" s="4" t="e">
        <f>F434/M434</f>
        <v>#VALUE!</v>
      </c>
      <c r="P434" s="4" t="e">
        <f>L434/M434</f>
        <v>#VALUE!</v>
      </c>
    </row>
    <row r="435" spans="1:16" ht="12.75">
      <c r="A435" s="33">
        <v>1662</v>
      </c>
      <c r="F435" s="34">
        <f>8.9790306325423*E435</f>
        <v>0</v>
      </c>
      <c r="I435" s="34"/>
      <c r="K435" s="34">
        <f>I435+J435</f>
        <v>0</v>
      </c>
      <c r="M435" s="34">
        <f>F435+L435</f>
        <v>0</v>
      </c>
      <c r="O435" s="4" t="e">
        <f>F435/M435</f>
        <v>#VALUE!</v>
      </c>
      <c r="P435" s="4" t="e">
        <f>L435/M435</f>
        <v>#VALUE!</v>
      </c>
    </row>
    <row r="436" spans="1:16" ht="12.75">
      <c r="A436" s="33">
        <v>1663</v>
      </c>
      <c r="F436" s="34">
        <f>8.9790306325423*E436</f>
        <v>0</v>
      </c>
      <c r="I436" s="34"/>
      <c r="K436" s="34">
        <f>I436+J436</f>
        <v>0</v>
      </c>
      <c r="M436" s="34">
        <f>F436+L436</f>
        <v>0</v>
      </c>
      <c r="O436" s="4" t="e">
        <f>F436/M436</f>
        <v>#VALUE!</v>
      </c>
      <c r="P436" s="4" t="e">
        <f>L436/M436</f>
        <v>#VALUE!</v>
      </c>
    </row>
    <row r="437" spans="1:16" ht="12.75">
      <c r="A437" s="33">
        <v>1664</v>
      </c>
      <c r="F437" s="34">
        <f>8.9790306325423*E437</f>
        <v>0</v>
      </c>
      <c r="I437" s="34"/>
      <c r="K437" s="34">
        <f>I437+J437</f>
        <v>0</v>
      </c>
      <c r="M437" s="34">
        <f>F437+L437</f>
        <v>0</v>
      </c>
      <c r="O437" s="4" t="e">
        <f>F437/M437</f>
        <v>#VALUE!</v>
      </c>
      <c r="P437" s="4" t="e">
        <f>L437/M437</f>
        <v>#VALUE!</v>
      </c>
    </row>
    <row r="438" spans="1:16" ht="12.75">
      <c r="A438" s="33">
        <v>1665</v>
      </c>
      <c r="F438" s="34">
        <f>8.9790306325423*E438</f>
        <v>0</v>
      </c>
      <c r="I438" s="34"/>
      <c r="K438" s="34">
        <f>I438+J438</f>
        <v>0</v>
      </c>
      <c r="M438" s="34">
        <f>F438+L438</f>
        <v>0</v>
      </c>
      <c r="O438" s="4" t="e">
        <f>F438/M438</f>
        <v>#VALUE!</v>
      </c>
      <c r="P438" s="4" t="e">
        <f>L438/M438</f>
        <v>#VALUE!</v>
      </c>
    </row>
    <row r="439" spans="1:16" ht="12.75">
      <c r="A439" s="33">
        <v>1666</v>
      </c>
      <c r="F439" s="34">
        <f>8.9790306325423*E439</f>
        <v>0</v>
      </c>
      <c r="I439" s="34"/>
      <c r="K439" s="34">
        <f>I439+J439</f>
        <v>0</v>
      </c>
      <c r="M439" s="34">
        <f>F439+L439</f>
        <v>0</v>
      </c>
      <c r="O439" s="4" t="e">
        <f>F439/M439</f>
        <v>#VALUE!</v>
      </c>
      <c r="P439" s="4" t="e">
        <f>L439/M439</f>
        <v>#VALUE!</v>
      </c>
    </row>
    <row r="440" spans="1:16" ht="12.75">
      <c r="A440" s="33">
        <v>1667</v>
      </c>
      <c r="F440" s="34">
        <f>8.9790306325423*E440</f>
        <v>0</v>
      </c>
      <c r="I440" s="34"/>
      <c r="K440" s="34">
        <f>I440+J440</f>
        <v>0</v>
      </c>
      <c r="M440" s="34">
        <f>F440+L440</f>
        <v>0</v>
      </c>
      <c r="O440" s="4" t="e">
        <f>F440/M440</f>
        <v>#VALUE!</v>
      </c>
      <c r="P440" s="4" t="e">
        <f>L440/M440</f>
        <v>#VALUE!</v>
      </c>
    </row>
    <row r="441" spans="1:16" ht="12.75">
      <c r="A441" s="33">
        <v>1668</v>
      </c>
      <c r="F441" s="34">
        <f>8.9790306325423*E441</f>
        <v>0</v>
      </c>
      <c r="I441" s="34"/>
      <c r="K441" s="34">
        <f>I441+J441</f>
        <v>0</v>
      </c>
      <c r="M441" s="34">
        <f>F441+L441</f>
        <v>0</v>
      </c>
      <c r="O441" s="4" t="e">
        <f>F441/M441</f>
        <v>#VALUE!</v>
      </c>
      <c r="P441" s="4" t="e">
        <f>L441/M441</f>
        <v>#VALUE!</v>
      </c>
    </row>
    <row r="442" spans="1:16" ht="12.75">
      <c r="A442" s="33">
        <v>1669</v>
      </c>
      <c r="F442" s="34">
        <f>8.9790306325423*E442</f>
        <v>0</v>
      </c>
      <c r="I442" s="34"/>
      <c r="K442" s="34">
        <f>I442+J442</f>
        <v>0</v>
      </c>
      <c r="M442" s="34">
        <f>F442+L442</f>
        <v>0</v>
      </c>
      <c r="O442" s="4" t="e">
        <f>F442/M442</f>
        <v>#VALUE!</v>
      </c>
      <c r="P442" s="4" t="e">
        <f>L442/M442</f>
        <v>#VALUE!</v>
      </c>
    </row>
    <row r="443" spans="1:16" ht="12.75">
      <c r="A443" s="33">
        <v>1670</v>
      </c>
      <c r="F443" s="34">
        <f>8.9790306325423*E443</f>
        <v>0</v>
      </c>
      <c r="I443" s="34"/>
      <c r="K443" s="34">
        <f>I443+J443</f>
        <v>0</v>
      </c>
      <c r="M443" s="34">
        <f>F443+L443</f>
        <v>0</v>
      </c>
      <c r="O443" s="4" t="e">
        <f>F443/M443</f>
        <v>#VALUE!</v>
      </c>
      <c r="P443" s="4" t="e">
        <f>L443/M443</f>
        <v>#VALUE!</v>
      </c>
    </row>
    <row r="444" spans="1:16" ht="12.75">
      <c r="A444" s="33">
        <v>1671</v>
      </c>
      <c r="F444" s="34">
        <f>8.9790306325423*E444</f>
        <v>0</v>
      </c>
      <c r="I444" s="34"/>
      <c r="K444" s="34">
        <f>I444+J444</f>
        <v>0</v>
      </c>
      <c r="M444" s="34">
        <f>F444+L444</f>
        <v>0</v>
      </c>
      <c r="O444" s="4" t="e">
        <f>F444/M444</f>
        <v>#VALUE!</v>
      </c>
      <c r="P444" s="4" t="e">
        <f>L444/M444</f>
        <v>#VALUE!</v>
      </c>
    </row>
    <row r="445" spans="1:16" ht="12.75">
      <c r="A445" s="33">
        <v>1672</v>
      </c>
      <c r="F445" s="34">
        <f>8.9790306325423*E445</f>
        <v>0</v>
      </c>
      <c r="I445" s="34"/>
      <c r="K445" s="34">
        <f>I445+J445</f>
        <v>0</v>
      </c>
      <c r="M445" s="34">
        <f>F445+L445</f>
        <v>0</v>
      </c>
      <c r="O445" s="4" t="e">
        <f>F445/M445</f>
        <v>#VALUE!</v>
      </c>
      <c r="P445" s="4" t="e">
        <f>L445/M445</f>
        <v>#VALUE!</v>
      </c>
    </row>
    <row r="446" spans="1:16" ht="12.75">
      <c r="A446" s="33">
        <v>1673</v>
      </c>
      <c r="F446" s="34">
        <f>8.9790306325423*E446</f>
        <v>0</v>
      </c>
      <c r="I446" s="34"/>
      <c r="K446" s="34">
        <f>I446+J446</f>
        <v>0</v>
      </c>
      <c r="M446" s="34">
        <f>F446+L446</f>
        <v>0</v>
      </c>
      <c r="O446" s="4" t="e">
        <f>F446/M446</f>
        <v>#VALUE!</v>
      </c>
      <c r="P446" s="4" t="e">
        <f>L446/M446</f>
        <v>#VALUE!</v>
      </c>
    </row>
    <row r="447" spans="1:16" ht="12.75">
      <c r="A447" s="33">
        <v>1674</v>
      </c>
      <c r="F447" s="34">
        <f>8.9790306325423*E447</f>
        <v>0</v>
      </c>
      <c r="I447" s="34"/>
      <c r="K447" s="34">
        <f>I447+J447</f>
        <v>0</v>
      </c>
      <c r="M447" s="34">
        <f>F447+L447</f>
        <v>0</v>
      </c>
      <c r="O447" s="4" t="e">
        <f>F447/M447</f>
        <v>#VALUE!</v>
      </c>
      <c r="P447" s="4" t="e">
        <f>L447/M447</f>
        <v>#VALUE!</v>
      </c>
    </row>
    <row r="448" spans="1:16" ht="12.75">
      <c r="A448" s="33">
        <v>1675</v>
      </c>
      <c r="F448" s="34">
        <f>8.9790306325423*E448</f>
        <v>0</v>
      </c>
      <c r="I448" s="34"/>
      <c r="K448" s="34">
        <f>I448+J448</f>
        <v>0</v>
      </c>
      <c r="M448" s="34">
        <f>F448+L448</f>
        <v>0</v>
      </c>
      <c r="O448" s="4" t="e">
        <f>F448/M448</f>
        <v>#VALUE!</v>
      </c>
      <c r="P448" s="4" t="e">
        <f>L448/M448</f>
        <v>#VALUE!</v>
      </c>
    </row>
    <row r="449" spans="1:16" ht="12.75">
      <c r="A449" s="33">
        <v>1676</v>
      </c>
      <c r="F449" s="34">
        <f>8.9790306325423*E449</f>
        <v>0</v>
      </c>
      <c r="I449" s="34"/>
      <c r="K449" s="34">
        <f>I449+J449</f>
        <v>0</v>
      </c>
      <c r="M449" s="34">
        <f>F449+L449</f>
        <v>0</v>
      </c>
      <c r="O449" s="4" t="e">
        <f>F449/M449</f>
        <v>#VALUE!</v>
      </c>
      <c r="P449" s="4" t="e">
        <f>L449/M449</f>
        <v>#VALUE!</v>
      </c>
    </row>
    <row r="450" spans="1:16" ht="12.75">
      <c r="A450" s="33">
        <v>1677</v>
      </c>
      <c r="F450" s="34">
        <f>8.9790306325423*E450</f>
        <v>0</v>
      </c>
      <c r="I450" s="34"/>
      <c r="K450" s="34">
        <f>I450+J450</f>
        <v>0</v>
      </c>
      <c r="M450" s="34">
        <f>F450+L450</f>
        <v>0</v>
      </c>
      <c r="O450" s="4" t="e">
        <f>F450/M450</f>
        <v>#VALUE!</v>
      </c>
      <c r="P450" s="4" t="e">
        <f>L450/M450</f>
        <v>#VALUE!</v>
      </c>
    </row>
    <row r="451" spans="1:16" ht="12.75">
      <c r="A451" s="33">
        <v>1678</v>
      </c>
      <c r="F451" s="34">
        <f>8.9790306325423*E451</f>
        <v>0</v>
      </c>
      <c r="I451" s="34"/>
      <c r="K451" s="34">
        <f>I451+J451</f>
        <v>0</v>
      </c>
      <c r="M451" s="34">
        <f>F451+L451</f>
        <v>0</v>
      </c>
      <c r="O451" s="4" t="e">
        <f>F451/M451</f>
        <v>#VALUE!</v>
      </c>
      <c r="P451" s="4" t="e">
        <f>L451/M451</f>
        <v>#VALUE!</v>
      </c>
    </row>
    <row r="452" spans="1:16" ht="12.75">
      <c r="A452" s="33">
        <v>1679</v>
      </c>
      <c r="F452" s="34">
        <f>8.9790306325423*E452</f>
        <v>0</v>
      </c>
      <c r="I452" s="34"/>
      <c r="K452" s="34">
        <f>I452+J452</f>
        <v>0</v>
      </c>
      <c r="M452" s="34">
        <f>F452+L452</f>
        <v>0</v>
      </c>
      <c r="O452" s="4" t="e">
        <f>F452/M452</f>
        <v>#VALUE!</v>
      </c>
      <c r="P452" s="4" t="e">
        <f>L452/M452</f>
        <v>#VALUE!</v>
      </c>
    </row>
    <row r="453" spans="1:16" ht="12.75">
      <c r="A453" s="33">
        <v>1680</v>
      </c>
      <c r="F453" s="34">
        <f>8.9790306325423*E453</f>
        <v>0</v>
      </c>
      <c r="I453" s="34"/>
      <c r="K453" s="34">
        <f>I453+J453</f>
        <v>0</v>
      </c>
      <c r="M453" s="34">
        <f>F453+L453</f>
        <v>0</v>
      </c>
      <c r="O453" s="4" t="e">
        <f>F453/M453</f>
        <v>#VALUE!</v>
      </c>
      <c r="P453" s="4" t="e">
        <f>L453/M453</f>
        <v>#VALUE!</v>
      </c>
    </row>
    <row r="454" spans="1:16" ht="12.75">
      <c r="A454" s="33">
        <v>1681</v>
      </c>
      <c r="F454" s="34">
        <f>8.9790306325423*E454</f>
        <v>0</v>
      </c>
      <c r="I454" s="34"/>
      <c r="K454" s="34">
        <f>I454+J454</f>
        <v>0</v>
      </c>
      <c r="M454" s="34">
        <f>F454+L454</f>
        <v>0</v>
      </c>
      <c r="O454" s="4" t="e">
        <f>F454/M454</f>
        <v>#VALUE!</v>
      </c>
      <c r="P454" s="4" t="e">
        <f>L454/M454</f>
        <v>#VALUE!</v>
      </c>
    </row>
    <row r="455" spans="1:16" ht="12.75">
      <c r="A455" s="33">
        <v>1682</v>
      </c>
      <c r="F455" s="34">
        <f>8.9790306325423*E455</f>
        <v>0</v>
      </c>
      <c r="I455" s="34"/>
      <c r="K455" s="34">
        <f>I455+J455</f>
        <v>0</v>
      </c>
      <c r="M455" s="34">
        <f>F455+L455</f>
        <v>0</v>
      </c>
      <c r="O455" s="4" t="e">
        <f>F455/M455</f>
        <v>#VALUE!</v>
      </c>
      <c r="P455" s="4" t="e">
        <f>L455/M455</f>
        <v>#VALUE!</v>
      </c>
    </row>
    <row r="456" spans="1:16" ht="12.75">
      <c r="A456" s="33">
        <v>1683</v>
      </c>
      <c r="F456" s="34">
        <f>8.9790306325423*E456</f>
        <v>0</v>
      </c>
      <c r="I456" s="34"/>
      <c r="K456" s="34">
        <f>I456+J456</f>
        <v>0</v>
      </c>
      <c r="M456" s="34">
        <f>F456+L456</f>
        <v>0</v>
      </c>
      <c r="O456" s="4" t="e">
        <f>F456/M456</f>
        <v>#VALUE!</v>
      </c>
      <c r="P456" s="4" t="e">
        <f>L456/M456</f>
        <v>#VALUE!</v>
      </c>
    </row>
    <row r="457" spans="1:16" ht="12.75">
      <c r="A457" s="33">
        <v>1684</v>
      </c>
      <c r="F457" s="34">
        <f>8.9790306325423*E457</f>
        <v>0</v>
      </c>
      <c r="I457" s="34"/>
      <c r="K457" s="34">
        <f>I457+J457</f>
        <v>0</v>
      </c>
      <c r="M457" s="34">
        <f>F457+L457</f>
        <v>0</v>
      </c>
      <c r="O457" s="4" t="e">
        <f>F457/M457</f>
        <v>#VALUE!</v>
      </c>
      <c r="P457" s="4" t="e">
        <f>L457/M457</f>
        <v>#VALUE!</v>
      </c>
    </row>
    <row r="458" spans="1:16" ht="12.75">
      <c r="A458" s="33">
        <v>1685</v>
      </c>
      <c r="F458" s="34">
        <f>8.9790306325423*E458</f>
        <v>0</v>
      </c>
      <c r="I458" s="34"/>
      <c r="K458" s="34">
        <f>I458+J458</f>
        <v>0</v>
      </c>
      <c r="M458" s="34">
        <f>F458+L458</f>
        <v>0</v>
      </c>
      <c r="O458" s="4" t="e">
        <f>F458/M458</f>
        <v>#VALUE!</v>
      </c>
      <c r="P458" s="4" t="e">
        <f>L458/M458</f>
        <v>#VALUE!</v>
      </c>
    </row>
    <row r="459" spans="1:16" ht="12.75">
      <c r="A459" s="33">
        <v>1686</v>
      </c>
      <c r="F459" s="34">
        <f>8.9790306325423*E459</f>
        <v>0</v>
      </c>
      <c r="I459" s="34"/>
      <c r="K459" s="34">
        <f>I459+J459</f>
        <v>0</v>
      </c>
      <c r="M459" s="34">
        <f>F459+L459</f>
        <v>0</v>
      </c>
      <c r="O459" s="4" t="e">
        <f>F459/M459</f>
        <v>#VALUE!</v>
      </c>
      <c r="P459" s="4" t="e">
        <f>L459/M459</f>
        <v>#VALUE!</v>
      </c>
    </row>
    <row r="460" spans="1:16" ht="12.75">
      <c r="A460" s="33">
        <v>1687</v>
      </c>
      <c r="F460" s="34">
        <f>8.9790306325423*E460</f>
        <v>0</v>
      </c>
      <c r="I460" s="34"/>
      <c r="K460" s="34">
        <f>I460+J460</f>
        <v>0</v>
      </c>
      <c r="M460" s="34">
        <f>F460+L460</f>
        <v>0</v>
      </c>
      <c r="O460" s="4" t="e">
        <f>F460/M460</f>
        <v>#VALUE!</v>
      </c>
      <c r="P460" s="4" t="e">
        <f>L460/M460</f>
        <v>#VALUE!</v>
      </c>
    </row>
    <row r="461" spans="1:16" ht="12.75">
      <c r="A461" s="33">
        <v>1688</v>
      </c>
      <c r="F461" s="34">
        <f>8.9790306325423*E461</f>
        <v>0</v>
      </c>
      <c r="I461" s="34"/>
      <c r="K461" s="34">
        <f>I461+J461</f>
        <v>0</v>
      </c>
      <c r="M461" s="34">
        <f>F461+L461</f>
        <v>0</v>
      </c>
      <c r="O461" s="4" t="e">
        <f>F461/M461</f>
        <v>#VALUE!</v>
      </c>
      <c r="P461" s="4" t="e">
        <f>L461/M461</f>
        <v>#VALUE!</v>
      </c>
    </row>
    <row r="462" spans="1:16" ht="12.75">
      <c r="A462" s="33">
        <v>1689</v>
      </c>
      <c r="F462" s="34">
        <f>8.9790306325423*E462</f>
        <v>0</v>
      </c>
      <c r="I462" s="34"/>
      <c r="K462" s="34">
        <f>I462+J462</f>
        <v>0</v>
      </c>
      <c r="M462" s="34">
        <f>F462+L462</f>
        <v>0</v>
      </c>
      <c r="O462" s="4" t="e">
        <f>F462/M462</f>
        <v>#VALUE!</v>
      </c>
      <c r="P462" s="4" t="e">
        <f>L462/M462</f>
        <v>#VALUE!</v>
      </c>
    </row>
    <row r="463" spans="1:16" ht="12.75">
      <c r="A463" s="33">
        <v>1690</v>
      </c>
      <c r="F463" s="34">
        <f>8.9790306325423*E463</f>
        <v>0</v>
      </c>
      <c r="I463" s="34"/>
      <c r="K463" s="34">
        <f>I463+J463</f>
        <v>0</v>
      </c>
      <c r="M463" s="34">
        <f>F463+L463</f>
        <v>0</v>
      </c>
      <c r="O463" s="4" t="e">
        <f>F463/M463</f>
        <v>#VALUE!</v>
      </c>
      <c r="P463" s="4" t="e">
        <f>L463/M463</f>
        <v>#VALUE!</v>
      </c>
    </row>
    <row r="464" spans="1:16" ht="12.75">
      <c r="A464" s="33">
        <v>1691</v>
      </c>
      <c r="F464" s="34">
        <f>8.9790306325423*E464</f>
        <v>0</v>
      </c>
      <c r="I464" s="34"/>
      <c r="K464" s="34">
        <f>I464+J464</f>
        <v>0</v>
      </c>
      <c r="M464" s="34">
        <f>F464+L464</f>
        <v>0</v>
      </c>
      <c r="O464" s="4" t="e">
        <f>F464/M464</f>
        <v>#VALUE!</v>
      </c>
      <c r="P464" s="4" t="e">
        <f>L464/M464</f>
        <v>#VALUE!</v>
      </c>
    </row>
    <row r="465" spans="1:16" ht="12.75">
      <c r="A465" s="33">
        <v>1692</v>
      </c>
      <c r="F465" s="34">
        <f>8.9790306325423*E465</f>
        <v>0</v>
      </c>
      <c r="I465" s="34"/>
      <c r="K465" s="34">
        <f>I465+J465</f>
        <v>0</v>
      </c>
      <c r="M465" s="34">
        <f>F465+L465</f>
        <v>0</v>
      </c>
      <c r="O465" s="4" t="e">
        <f>F465/M465</f>
        <v>#VALUE!</v>
      </c>
      <c r="P465" s="4" t="e">
        <f>L465/M465</f>
        <v>#VALUE!</v>
      </c>
    </row>
    <row r="466" spans="1:16" ht="12.75">
      <c r="A466" s="33">
        <v>1693</v>
      </c>
      <c r="F466" s="34">
        <f>8.9790306325423*E466</f>
        <v>0</v>
      </c>
      <c r="I466" s="34"/>
      <c r="K466" s="34">
        <f>I466+J466</f>
        <v>0</v>
      </c>
      <c r="M466" s="34">
        <f>F466+L466</f>
        <v>0</v>
      </c>
      <c r="O466" s="4" t="e">
        <f>F466/M466</f>
        <v>#VALUE!</v>
      </c>
      <c r="P466" s="4" t="e">
        <f>L466/M466</f>
        <v>#VALUE!</v>
      </c>
    </row>
    <row r="467" spans="1:16" ht="12.75">
      <c r="A467" s="33">
        <v>1694</v>
      </c>
      <c r="F467" s="34">
        <f>8.9790306325423*E467</f>
        <v>0</v>
      </c>
      <c r="I467" s="34"/>
      <c r="K467" s="34">
        <f>I467+J467</f>
        <v>0</v>
      </c>
      <c r="M467" s="34">
        <f>F467+L467</f>
        <v>0</v>
      </c>
      <c r="O467" s="4" t="e">
        <f>F467/M467</f>
        <v>#VALUE!</v>
      </c>
      <c r="P467" s="4" t="e">
        <f>L467/M467</f>
        <v>#VALUE!</v>
      </c>
    </row>
    <row r="468" spans="1:16" ht="12.75">
      <c r="A468" s="33">
        <v>1695</v>
      </c>
      <c r="F468" s="34">
        <f>8.9790306325423*E468</f>
        <v>0</v>
      </c>
      <c r="I468" s="34"/>
      <c r="K468" s="34">
        <f>I468+J468</f>
        <v>0</v>
      </c>
      <c r="M468" s="34">
        <f>F468+L468</f>
        <v>0</v>
      </c>
      <c r="O468" s="4" t="e">
        <f>F468/M468</f>
        <v>#VALUE!</v>
      </c>
      <c r="P468" s="4" t="e">
        <f>L468/M468</f>
        <v>#VALUE!</v>
      </c>
    </row>
    <row r="469" spans="1:16" ht="12.75">
      <c r="A469" s="33">
        <v>1696</v>
      </c>
      <c r="F469" s="34">
        <f>8.9790306325423*E469</f>
        <v>0</v>
      </c>
      <c r="I469" s="34"/>
      <c r="K469" s="34">
        <f>I469+J469</f>
        <v>0</v>
      </c>
      <c r="M469" s="34">
        <f>F469+L469</f>
        <v>0</v>
      </c>
      <c r="O469" s="4" t="e">
        <f>F469/M469</f>
        <v>#VALUE!</v>
      </c>
      <c r="P469" s="4" t="e">
        <f>L469/M469</f>
        <v>#VALUE!</v>
      </c>
    </row>
    <row r="470" spans="1:16" ht="12.75">
      <c r="A470" s="33">
        <v>1697</v>
      </c>
      <c r="F470" s="34">
        <f>8.9790306325423*E470</f>
        <v>0</v>
      </c>
      <c r="I470" s="34"/>
      <c r="K470" s="34">
        <f>I470+J470</f>
        <v>0</v>
      </c>
      <c r="M470" s="34">
        <f>F470+L470</f>
        <v>0</v>
      </c>
      <c r="O470" s="4" t="e">
        <f>F470/M470</f>
        <v>#VALUE!</v>
      </c>
      <c r="P470" s="4" t="e">
        <f>L470/M470</f>
        <v>#VALUE!</v>
      </c>
    </row>
    <row r="471" spans="1:16" ht="12.75">
      <c r="A471" s="33">
        <v>1698</v>
      </c>
      <c r="F471" s="34">
        <f>8.9790306325423*E471</f>
        <v>0</v>
      </c>
      <c r="I471" s="34"/>
      <c r="K471" s="34">
        <f>I471+J471</f>
        <v>0</v>
      </c>
      <c r="M471" s="34">
        <f>F471+L471</f>
        <v>0</v>
      </c>
      <c r="O471" s="4" t="e">
        <f>F471/M471</f>
        <v>#VALUE!</v>
      </c>
      <c r="P471" s="4" t="e">
        <f>L471/M471</f>
        <v>#VALUE!</v>
      </c>
    </row>
    <row r="472" spans="1:16" ht="12.75">
      <c r="A472" s="33">
        <v>1699</v>
      </c>
      <c r="F472" s="34">
        <f>8.9790306325423*E472</f>
        <v>0</v>
      </c>
      <c r="I472" s="34"/>
      <c r="K472" s="34">
        <f>I472+J472</f>
        <v>0</v>
      </c>
      <c r="M472" s="34">
        <f>F472+L472</f>
        <v>0</v>
      </c>
      <c r="O472" s="4" t="e">
        <f>F472/M472</f>
        <v>#VALUE!</v>
      </c>
      <c r="P472" s="4" t="e">
        <f>L472/M472</f>
        <v>#VALUE!</v>
      </c>
    </row>
    <row r="473" spans="1:16" ht="12.75">
      <c r="A473" s="33">
        <v>1700</v>
      </c>
      <c r="F473" s="34">
        <f>8.9790306325423*E473</f>
        <v>0</v>
      </c>
      <c r="I473" s="34"/>
      <c r="K473" s="34">
        <f>I473+J473</f>
        <v>0</v>
      </c>
      <c r="M473" s="34">
        <f>F473+L473</f>
        <v>0</v>
      </c>
      <c r="O473" s="4" t="e">
        <f>F473/M473</f>
        <v>#VALUE!</v>
      </c>
      <c r="P473" s="4" t="e">
        <f>L473/M473</f>
        <v>#VALUE!</v>
      </c>
    </row>
    <row r="474" spans="1:6" ht="12.75">
      <c r="A474" s="33">
        <v>1701</v>
      </c>
      <c r="F474" s="34">
        <f>8.9790306325423*E474</f>
        <v>0</v>
      </c>
    </row>
    <row r="475" spans="1:6" ht="12.75">
      <c r="A475" s="33">
        <v>1702</v>
      </c>
      <c r="F475" s="34">
        <f>8.9790306325423*E475</f>
        <v>0</v>
      </c>
    </row>
    <row r="476" spans="1:6" ht="12.75">
      <c r="A476" s="33">
        <v>1703</v>
      </c>
      <c r="F476" s="34">
        <f>8.9790306325423*E476</f>
        <v>0</v>
      </c>
    </row>
    <row r="477" spans="1:6" ht="12.75">
      <c r="A477" s="33">
        <v>1704</v>
      </c>
      <c r="F477" s="34">
        <f>8.9790306325423*E477</f>
        <v>0</v>
      </c>
    </row>
    <row r="478" spans="1:6" ht="12.75">
      <c r="A478" s="33">
        <v>1705</v>
      </c>
      <c r="F478" s="34">
        <f>8.9790306325423*E478</f>
        <v>0</v>
      </c>
    </row>
    <row r="479" spans="1:6" ht="12.75">
      <c r="A479" s="33">
        <v>1706</v>
      </c>
      <c r="F479" s="34">
        <f>8.9790306325423*E479</f>
        <v>0</v>
      </c>
    </row>
    <row r="480" spans="1:6" ht="12.75">
      <c r="A480" s="33">
        <v>1707</v>
      </c>
      <c r="F480" s="34">
        <f>8.9790306325423*E480</f>
        <v>0</v>
      </c>
    </row>
    <row r="481" spans="1:6" ht="12.75">
      <c r="A481" s="33">
        <v>1708</v>
      </c>
      <c r="F481" s="34">
        <f>8.9790306325423*E481</f>
        <v>0</v>
      </c>
    </row>
    <row r="482" spans="1:6" ht="12.75">
      <c r="A482" s="33">
        <v>1709</v>
      </c>
      <c r="F482" s="34">
        <f>8.9790306325423*E482</f>
        <v>0</v>
      </c>
    </row>
    <row r="483" spans="1:6" ht="12.75">
      <c r="A483" s="33">
        <v>1710</v>
      </c>
      <c r="F483" s="34">
        <f>8.9790306325423*E483</f>
        <v>0</v>
      </c>
    </row>
    <row r="484" spans="1:6" ht="12.75">
      <c r="A484" s="33">
        <v>1711</v>
      </c>
      <c r="F484" s="34">
        <f>8.9790306325423*E484</f>
        <v>0</v>
      </c>
    </row>
    <row r="485" spans="1:6" ht="12.75">
      <c r="A485" s="33">
        <v>1712</v>
      </c>
      <c r="F485" s="34">
        <f>8.9790306325423*E485</f>
        <v>0</v>
      </c>
    </row>
    <row r="486" spans="1:6" ht="12.75">
      <c r="A486" s="33">
        <v>1713</v>
      </c>
      <c r="F486" s="34">
        <f>8.9790306325423*E486</f>
        <v>0</v>
      </c>
    </row>
    <row r="487" spans="1:6" ht="12.75">
      <c r="A487" s="33">
        <v>1714</v>
      </c>
      <c r="F487" s="34">
        <f>8.9790306325423*E487</f>
        <v>0</v>
      </c>
    </row>
    <row r="488" spans="1:6" ht="12.75">
      <c r="A488" s="33">
        <v>1715</v>
      </c>
      <c r="F488" s="34">
        <f>8.9790306325423*E488</f>
        <v>0</v>
      </c>
    </row>
    <row r="489" spans="1:6" ht="12.75">
      <c r="A489" s="33">
        <v>1716</v>
      </c>
      <c r="F489" s="34">
        <f>8.9790306325423*E489</f>
        <v>0</v>
      </c>
    </row>
    <row r="490" spans="1:6" ht="12.75">
      <c r="A490" s="33">
        <v>1717</v>
      </c>
      <c r="F490" s="34">
        <f>8.9790306325423*E490</f>
        <v>0</v>
      </c>
    </row>
    <row r="491" spans="1:6" ht="12.75">
      <c r="A491" s="33">
        <v>1718</v>
      </c>
      <c r="F491" s="34">
        <f>8.9790306325423*E491</f>
        <v>0</v>
      </c>
    </row>
    <row r="492" spans="1:6" ht="12.75">
      <c r="A492" s="33">
        <v>1719</v>
      </c>
      <c r="F492" s="34">
        <f>8.9790306325423*E492</f>
        <v>0</v>
      </c>
    </row>
    <row r="493" spans="1:6" ht="12.75">
      <c r="A493" s="33">
        <v>1720</v>
      </c>
      <c r="F493" s="34">
        <f>8.9790306325423*E493</f>
        <v>0</v>
      </c>
    </row>
    <row r="494" spans="1:6" ht="12.75">
      <c r="A494" s="33">
        <v>1721</v>
      </c>
      <c r="F494" s="34">
        <f>8.9790306325423*E494</f>
        <v>0</v>
      </c>
    </row>
    <row r="495" spans="1:6" ht="12.75">
      <c r="A495" s="33">
        <v>1722</v>
      </c>
      <c r="F495" s="34">
        <f>8.9790306325423*E495</f>
        <v>0</v>
      </c>
    </row>
    <row r="496" spans="1:6" ht="12.75">
      <c r="A496" s="33">
        <v>1723</v>
      </c>
      <c r="F496" s="34">
        <f>8.9790306325423*E496</f>
        <v>0</v>
      </c>
    </row>
    <row r="497" spans="1:6" ht="12.75">
      <c r="A497" s="33"/>
      <c r="F497" s="34"/>
    </row>
    <row r="498" spans="1:6" ht="12.75">
      <c r="A498" s="33"/>
      <c r="F498" s="34"/>
    </row>
    <row r="499" spans="1:6" ht="12.75">
      <c r="A499" s="33"/>
      <c r="F499" s="34"/>
    </row>
    <row r="500" spans="1:6" ht="12.75">
      <c r="A500" s="33"/>
      <c r="F500" s="34"/>
    </row>
    <row r="501" spans="1:6" ht="12.75">
      <c r="A501" s="33"/>
      <c r="F501" s="34"/>
    </row>
    <row r="502" spans="1:6" ht="12.75">
      <c r="A502" s="33"/>
      <c r="F502" s="34"/>
    </row>
    <row r="503" spans="1:6" ht="12.75">
      <c r="A503" s="33"/>
      <c r="F503" s="34"/>
    </row>
    <row r="504" spans="1:6" ht="12.75">
      <c r="A504" s="33"/>
      <c r="F504" s="34"/>
    </row>
    <row r="505" spans="1:6" ht="12.75">
      <c r="A505" s="33"/>
      <c r="F505" s="34"/>
    </row>
    <row r="506" spans="1:6" ht="12.75">
      <c r="A506" s="33"/>
      <c r="F506" s="34"/>
    </row>
    <row r="507" spans="1:6" ht="12.75">
      <c r="A507" s="33"/>
      <c r="F507" s="34"/>
    </row>
    <row r="508" spans="1:6" ht="12.75">
      <c r="A508" s="33"/>
      <c r="F508" s="34"/>
    </row>
    <row r="509" spans="1:6" ht="12.75">
      <c r="A509" s="33"/>
      <c r="F509" s="3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P745"/>
  <sheetViews>
    <sheetView defaultGridColor="0" zoomScale="90" zoomScaleNormal="90" colorId="0" workbookViewId="0" topLeftCell="A1">
      <pane xSplit="1" ySplit="7" topLeftCell="B8" activePane="bottomRight" state="frozen"/>
      <selection pane="bottomRight" activeCell="B8" sqref="B8"/>
    </sheetView>
  </sheetViews>
  <sheetFormatPr defaultColWidth="9.140625" defaultRowHeight="12.75"/>
  <cols>
    <col min="1" max="1" width="8.421875" style="45" customWidth="1"/>
    <col min="2" max="2" width="8.421875" style="20" customWidth="1"/>
    <col min="3" max="5" width="10.7109375" style="34" customWidth="1"/>
    <col min="6" max="6" width="11.7109375" style="34" customWidth="1"/>
    <col min="7" max="7" width="8.421875" style="20" customWidth="1"/>
    <col min="8" max="8" width="10.7109375" style="36" customWidth="1"/>
    <col min="9" max="10" width="9.7109375" style="34" customWidth="1"/>
    <col min="11" max="11" width="10.421875" style="34" customWidth="1"/>
    <col min="12" max="12" width="11.7109375" style="34" customWidth="1"/>
    <col min="13" max="13" width="12.140625" style="34" customWidth="1"/>
    <col min="15" max="16" width="8.421875" style="4" customWidth="1"/>
  </cols>
  <sheetData>
    <row r="1" ht="12.75">
      <c r="C1" s="35" t="s">
        <v>2</v>
      </c>
    </row>
    <row r="2" ht="12.75">
      <c r="C2" s="36"/>
    </row>
    <row r="3" spans="3:9" ht="12.75">
      <c r="C3" s="37" t="s">
        <v>285</v>
      </c>
      <c r="H3" s="34"/>
      <c r="I3" s="35" t="s">
        <v>201</v>
      </c>
    </row>
    <row r="4" spans="3:16" ht="12.75">
      <c r="C4" s="34"/>
      <c r="H4" s="6"/>
      <c r="I4" s="34"/>
      <c r="M4" s="35" t="s">
        <v>297</v>
      </c>
      <c r="O4" s="5" t="s">
        <v>266</v>
      </c>
      <c r="P4" s="5" t="s">
        <v>266</v>
      </c>
    </row>
    <row r="5" spans="1:16" ht="12.75">
      <c r="A5" s="45" t="s">
        <v>317</v>
      </c>
      <c r="B5" s="1" t="s">
        <v>301</v>
      </c>
      <c r="C5" s="35" t="s">
        <v>241</v>
      </c>
      <c r="D5" s="35" t="s">
        <v>271</v>
      </c>
      <c r="E5" s="35" t="s">
        <v>296</v>
      </c>
      <c r="F5" s="35" t="s">
        <v>307</v>
      </c>
      <c r="G5" s="37"/>
      <c r="H5" s="1" t="s">
        <v>301</v>
      </c>
      <c r="I5" s="35" t="s">
        <v>241</v>
      </c>
      <c r="J5" s="35" t="s">
        <v>271</v>
      </c>
      <c r="K5" s="35" t="s">
        <v>296</v>
      </c>
      <c r="L5" s="35" t="s">
        <v>307</v>
      </c>
      <c r="M5" s="35" t="s">
        <v>312</v>
      </c>
      <c r="O5" s="5" t="s">
        <v>282</v>
      </c>
      <c r="P5" s="5" t="s">
        <v>198</v>
      </c>
    </row>
    <row r="6" spans="1:16" ht="12.75">
      <c r="A6" s="45"/>
      <c r="B6" s="1" t="s">
        <v>269</v>
      </c>
      <c r="C6" s="35" t="s">
        <v>237</v>
      </c>
      <c r="D6" s="35" t="s">
        <v>237</v>
      </c>
      <c r="E6" s="35" t="s">
        <v>239</v>
      </c>
      <c r="F6" s="35" t="s">
        <v>8</v>
      </c>
      <c r="G6" s="20"/>
      <c r="H6" s="1" t="s">
        <v>269</v>
      </c>
      <c r="I6" s="35" t="s">
        <v>237</v>
      </c>
      <c r="J6" s="35" t="s">
        <v>237</v>
      </c>
      <c r="K6" s="35" t="s">
        <v>239</v>
      </c>
      <c r="L6" s="35" t="s">
        <v>8</v>
      </c>
      <c r="M6" s="35" t="s">
        <v>4</v>
      </c>
      <c r="O6" s="4"/>
      <c r="P6" s="4"/>
    </row>
    <row r="7" spans="1:16" ht="12.75">
      <c r="A7" s="45"/>
      <c r="B7" s="20"/>
      <c r="C7" s="36"/>
      <c r="D7" s="36"/>
      <c r="E7" s="36"/>
      <c r="F7" s="36"/>
      <c r="G7" s="20"/>
      <c r="H7" s="36"/>
      <c r="I7" s="36"/>
      <c r="J7" s="36"/>
      <c r="K7" s="36"/>
      <c r="L7" s="36"/>
      <c r="M7" s="36"/>
      <c r="O7" s="8"/>
      <c r="P7" s="8"/>
    </row>
    <row r="8" spans="1:16" ht="12.75">
      <c r="A8" s="45">
        <v>1235</v>
      </c>
      <c r="B8" s="20"/>
      <c r="C8" s="34">
        <v>5830.525</v>
      </c>
      <c r="D8" s="34">
        <v>7205.803</v>
      </c>
      <c r="E8" s="34">
        <f>C8+D8</f>
        <v>13036.328</v>
      </c>
      <c r="F8" s="34">
        <f>3.115305029*E8</f>
        <v>40612.13817809351</v>
      </c>
      <c r="G8" s="20"/>
      <c r="H8" s="36"/>
      <c r="I8" s="34"/>
      <c r="J8" s="34"/>
      <c r="K8" s="34"/>
      <c r="L8" s="34"/>
      <c r="M8" s="34">
        <f>F8+L8</f>
        <v>40612.13817809351</v>
      </c>
      <c r="O8" s="4">
        <f>F8/M8</f>
        <v>1</v>
      </c>
      <c r="P8" s="4">
        <f>L8/M8</f>
        <v>0</v>
      </c>
    </row>
    <row r="9" spans="1:16" ht="12.75">
      <c r="A9" s="45"/>
      <c r="B9" s="20"/>
      <c r="C9" s="36"/>
      <c r="D9" s="36"/>
      <c r="E9" s="36"/>
      <c r="F9" s="36"/>
      <c r="G9" s="20"/>
      <c r="H9" s="36"/>
      <c r="I9" s="36"/>
      <c r="J9" s="36"/>
      <c r="K9" s="36"/>
      <c r="L9" s="36"/>
      <c r="M9" s="36"/>
      <c r="O9" s="8"/>
      <c r="P9" s="8"/>
    </row>
    <row r="10" spans="1:16" ht="12.75">
      <c r="A10" s="45"/>
      <c r="B10" s="20"/>
      <c r="C10" s="36"/>
      <c r="D10" s="36"/>
      <c r="E10" s="36"/>
      <c r="F10" s="36"/>
      <c r="G10" s="20"/>
      <c r="H10" s="36"/>
      <c r="I10" s="36"/>
      <c r="J10" s="36"/>
      <c r="K10" s="36"/>
      <c r="L10" s="36"/>
      <c r="M10" s="36"/>
      <c r="O10" s="8"/>
      <c r="P10" s="8"/>
    </row>
    <row r="11" spans="1:16" ht="12.75">
      <c r="A11" s="45">
        <v>1236</v>
      </c>
      <c r="B11" s="20"/>
      <c r="C11" s="34">
        <v>6060.251</v>
      </c>
      <c r="D11" s="34">
        <v>9682.127</v>
      </c>
      <c r="E11" s="34">
        <f>C11+D11</f>
        <v>15742.378</v>
      </c>
      <c r="F11" s="34">
        <f>3.115305029*E11</f>
        <v>49042.30935181896</v>
      </c>
      <c r="G11" s="20"/>
      <c r="H11" s="36"/>
      <c r="I11" s="34"/>
      <c r="J11" s="34"/>
      <c r="K11" s="34"/>
      <c r="L11" s="34"/>
      <c r="M11" s="34">
        <f>F11+L11</f>
        <v>49042.30935181896</v>
      </c>
      <c r="O11" s="4">
        <f>F11/M11</f>
        <v>1</v>
      </c>
      <c r="P11" s="4">
        <f>L11/M11</f>
        <v>0</v>
      </c>
    </row>
    <row r="12" spans="1:16" ht="12.75">
      <c r="A12" s="45">
        <v>1237</v>
      </c>
      <c r="B12" s="20"/>
      <c r="C12" s="34">
        <v>5587.814</v>
      </c>
      <c r="D12" s="34">
        <v>9969.993</v>
      </c>
      <c r="E12" s="34">
        <f>C12+D12</f>
        <v>15557.807</v>
      </c>
      <c r="F12" s="34">
        <f>3.115305029*E12</f>
        <v>48467.3143873114</v>
      </c>
      <c r="G12" s="20"/>
      <c r="H12" s="36"/>
      <c r="I12" s="34"/>
      <c r="J12" s="34"/>
      <c r="K12" s="34"/>
      <c r="L12" s="34"/>
      <c r="M12" s="34">
        <f>F12+L12</f>
        <v>48467.3143873114</v>
      </c>
      <c r="O12" s="4">
        <f>F12/M12</f>
        <v>1</v>
      </c>
      <c r="P12" s="4">
        <f>L12/M12</f>
        <v>0</v>
      </c>
    </row>
    <row r="13" spans="1:16" ht="12.75">
      <c r="A13" s="45">
        <v>1238</v>
      </c>
      <c r="B13" s="20"/>
      <c r="C13" s="34">
        <v>3609.211</v>
      </c>
      <c r="D13" s="34">
        <v>5892.039</v>
      </c>
      <c r="E13" s="34">
        <f>C13+D13</f>
        <v>9501.25</v>
      </c>
      <c r="F13" s="34">
        <f>3.115305029*E13</f>
        <v>29599.29190678625</v>
      </c>
      <c r="G13" s="20"/>
      <c r="H13" s="36"/>
      <c r="I13" s="34"/>
      <c r="J13" s="34"/>
      <c r="K13" s="34"/>
      <c r="L13" s="34"/>
      <c r="M13" s="34">
        <f>F13+L13</f>
        <v>29599.29190678625</v>
      </c>
      <c r="O13" s="4">
        <f>F13/M13</f>
        <v>1</v>
      </c>
      <c r="P13" s="4">
        <f>L13/M13</f>
        <v>0</v>
      </c>
    </row>
    <row r="14" spans="1:16" ht="12.75">
      <c r="A14" s="45">
        <v>1239</v>
      </c>
      <c r="B14" s="20"/>
      <c r="C14" s="34">
        <v>3264.275</v>
      </c>
      <c r="D14" s="34">
        <v>7022.605</v>
      </c>
      <c r="E14" s="34">
        <f>C14+D14</f>
        <v>10286.88</v>
      </c>
      <c r="F14" s="34">
        <f>3.115305029*E14</f>
        <v>32046.76899671952</v>
      </c>
      <c r="G14" s="20"/>
      <c r="H14" s="36"/>
      <c r="I14" s="34"/>
      <c r="J14" s="34"/>
      <c r="K14" s="34"/>
      <c r="L14" s="34"/>
      <c r="M14" s="34">
        <f>F14+L14</f>
        <v>32046.76899671952</v>
      </c>
      <c r="O14" s="4">
        <f>F14/M14</f>
        <v>1</v>
      </c>
      <c r="P14" s="4">
        <f>L14/M14</f>
        <v>0</v>
      </c>
    </row>
    <row r="15" spans="1:16" ht="12.75">
      <c r="A15" s="45">
        <v>1240</v>
      </c>
      <c r="B15" s="20"/>
      <c r="C15" s="34">
        <v>5359.772</v>
      </c>
      <c r="D15" s="34">
        <v>8771.829</v>
      </c>
      <c r="E15" s="34">
        <f>C15+D15</f>
        <v>14131.600999999999</v>
      </c>
      <c r="F15" s="34">
        <f>3.115305029*E15</f>
        <v>44024.24766312142</v>
      </c>
      <c r="G15" s="20"/>
      <c r="H15" s="36"/>
      <c r="I15" s="34"/>
      <c r="J15" s="34"/>
      <c r="K15" s="34"/>
      <c r="L15" s="34"/>
      <c r="M15" s="34">
        <f>F15+L15</f>
        <v>44024.24766312142</v>
      </c>
      <c r="O15" s="4">
        <f>F15/M15</f>
        <v>1</v>
      </c>
      <c r="P15" s="4">
        <f>L15/M15</f>
        <v>0</v>
      </c>
    </row>
    <row r="16" spans="1:16" ht="12.75">
      <c r="A16" s="45"/>
      <c r="B16" s="20"/>
      <c r="C16" s="36"/>
      <c r="D16" s="36"/>
      <c r="E16" s="36"/>
      <c r="F16" s="36"/>
      <c r="G16" s="20"/>
      <c r="H16" s="36"/>
      <c r="I16" s="36"/>
      <c r="J16" s="36"/>
      <c r="K16" s="36"/>
      <c r="L16" s="36"/>
      <c r="M16" s="36"/>
      <c r="O16" s="8"/>
      <c r="P16" s="8"/>
    </row>
    <row r="17" spans="1:16" ht="12.75">
      <c r="A17" s="45" t="s">
        <v>14</v>
      </c>
      <c r="B17" s="20"/>
      <c r="C17" s="36">
        <f>SUM(C11:C16)/5</f>
        <v>4776.2646</v>
      </c>
      <c r="D17" s="36">
        <f>SUM(D11:D16)/5</f>
        <v>8267.7186</v>
      </c>
      <c r="E17" s="36">
        <f>SUM(E11:E16)/5</f>
        <v>13043.983199999999</v>
      </c>
      <c r="F17" s="36">
        <f>SUM(F11:F16)/5</f>
        <v>40635.98646115151</v>
      </c>
      <c r="G17" s="20"/>
      <c r="H17" s="36"/>
      <c r="I17" s="36"/>
      <c r="J17" s="36"/>
      <c r="K17" s="36"/>
      <c r="L17" s="36"/>
      <c r="M17" s="36">
        <f>SUM(M11:M16)/5</f>
        <v>40635.98646115151</v>
      </c>
      <c r="O17" s="4">
        <f>F17/M17</f>
        <v>1</v>
      </c>
      <c r="P17" s="4">
        <f>L17/M17</f>
        <v>0</v>
      </c>
    </row>
    <row r="18" spans="1:16" ht="12.75">
      <c r="A18" s="45"/>
      <c r="B18" s="20"/>
      <c r="C18" s="36"/>
      <c r="D18" s="36"/>
      <c r="E18" s="36"/>
      <c r="F18" s="36"/>
      <c r="G18" s="20"/>
      <c r="H18" s="36"/>
      <c r="I18" s="36"/>
      <c r="J18" s="36"/>
      <c r="K18" s="36"/>
      <c r="L18" s="36"/>
      <c r="M18" s="36"/>
      <c r="O18" s="8"/>
      <c r="P18" s="8"/>
    </row>
    <row r="19" spans="1:16" ht="12.75">
      <c r="A19" s="45">
        <v>1241</v>
      </c>
      <c r="B19" s="20"/>
      <c r="C19" s="34">
        <v>5247.244</v>
      </c>
      <c r="D19" s="34">
        <v>6675.847</v>
      </c>
      <c r="E19" s="34">
        <f>C19+D19</f>
        <v>11923.091</v>
      </c>
      <c r="F19" s="34">
        <f>3.115305029*E19</f>
        <v>37144.06535352464</v>
      </c>
      <c r="G19" s="20"/>
      <c r="H19" s="36"/>
      <c r="I19" s="34"/>
      <c r="J19" s="34"/>
      <c r="K19" s="34"/>
      <c r="L19" s="34"/>
      <c r="M19" s="34">
        <f>F19+L19</f>
        <v>37144.06535352464</v>
      </c>
      <c r="O19" s="4">
        <f>F19/M19</f>
        <v>1</v>
      </c>
      <c r="P19" s="4">
        <f>L19/M19</f>
        <v>0</v>
      </c>
    </row>
    <row r="20" spans="1:16" ht="12.75">
      <c r="A20" s="45">
        <v>1242</v>
      </c>
      <c r="B20" s="20"/>
      <c r="C20" s="34">
        <v>6036.354</v>
      </c>
      <c r="D20" s="34">
        <v>5153.62</v>
      </c>
      <c r="E20" s="34">
        <f>C20+D20</f>
        <v>11189.974</v>
      </c>
      <c r="F20" s="34">
        <f>3.115305029*E20</f>
        <v>34860.182276579246</v>
      </c>
      <c r="G20" s="20"/>
      <c r="H20" s="36"/>
      <c r="I20" s="34"/>
      <c r="J20" s="34"/>
      <c r="K20" s="34"/>
      <c r="L20" s="34"/>
      <c r="M20" s="34">
        <f>F20+L20</f>
        <v>34860.182276579246</v>
      </c>
      <c r="O20" s="4">
        <f>F20/M20</f>
        <v>1</v>
      </c>
      <c r="P20" s="4">
        <f>L20/M20</f>
        <v>0</v>
      </c>
    </row>
    <row r="21" spans="1:16" ht="12.75">
      <c r="A21" s="45">
        <v>1243</v>
      </c>
      <c r="B21" s="20"/>
      <c r="C21" s="34">
        <v>10222.631</v>
      </c>
      <c r="D21" s="34">
        <v>8838.722</v>
      </c>
      <c r="E21" s="34">
        <f>C21+D21</f>
        <v>19061.353</v>
      </c>
      <c r="F21" s="34">
        <f>3.115305029*E21</f>
        <v>59381.92886044423</v>
      </c>
      <c r="G21" s="20"/>
      <c r="H21" s="36"/>
      <c r="I21" s="34"/>
      <c r="J21" s="34"/>
      <c r="K21" s="34"/>
      <c r="L21" s="34"/>
      <c r="M21" s="34">
        <f>F21+L21</f>
        <v>59381.92886044423</v>
      </c>
      <c r="O21" s="4">
        <f>F21/M21</f>
        <v>1</v>
      </c>
      <c r="P21" s="4">
        <f>L21/M21</f>
        <v>0</v>
      </c>
    </row>
    <row r="22" spans="1:16" ht="12.75">
      <c r="A22" s="45">
        <v>1244</v>
      </c>
      <c r="B22" s="20"/>
      <c r="C22" s="34">
        <v>10597.144</v>
      </c>
      <c r="D22" s="34">
        <v>8258.218</v>
      </c>
      <c r="E22" s="34">
        <f>C22+D22</f>
        <v>18855.362</v>
      </c>
      <c r="F22" s="34">
        <f>3.115305029*E22</f>
        <v>58740.204062215504</v>
      </c>
      <c r="G22" s="20"/>
      <c r="H22" s="36"/>
      <c r="I22" s="34"/>
      <c r="J22" s="34"/>
      <c r="K22" s="34"/>
      <c r="L22" s="34"/>
      <c r="M22" s="34">
        <f>F22+L22</f>
        <v>58740.204062215504</v>
      </c>
      <c r="O22" s="4">
        <f>F22/M22</f>
        <v>1</v>
      </c>
      <c r="P22" s="4">
        <f>L22/M22</f>
        <v>0</v>
      </c>
    </row>
    <row r="23" spans="1:16" ht="12.75">
      <c r="A23" s="45">
        <v>1245</v>
      </c>
      <c r="B23" s="20"/>
      <c r="C23" s="34">
        <v>8252.405</v>
      </c>
      <c r="D23" s="34">
        <v>7487.992</v>
      </c>
      <c r="E23" s="34">
        <f>C23+D23</f>
        <v>15740.397</v>
      </c>
      <c r="F23" s="34">
        <f>3.115305029*E23</f>
        <v>49036.137932556514</v>
      </c>
      <c r="G23" s="20"/>
      <c r="H23" s="36"/>
      <c r="I23" s="34"/>
      <c r="J23" s="34"/>
      <c r="K23" s="34"/>
      <c r="L23" s="34"/>
      <c r="M23" s="34">
        <f>F23+L23</f>
        <v>49036.137932556514</v>
      </c>
      <c r="O23" s="4">
        <f>F23/M23</f>
        <v>1</v>
      </c>
      <c r="P23" s="4">
        <f>L23/M23</f>
        <v>0</v>
      </c>
    </row>
    <row r="24" spans="1:16" ht="12.75">
      <c r="A24" s="45"/>
      <c r="B24" s="20"/>
      <c r="C24" s="36"/>
      <c r="D24" s="36"/>
      <c r="E24" s="36"/>
      <c r="F24" s="36"/>
      <c r="G24" s="20"/>
      <c r="H24" s="36"/>
      <c r="I24" s="36"/>
      <c r="J24" s="36"/>
      <c r="K24" s="36"/>
      <c r="L24" s="36"/>
      <c r="M24" s="36"/>
      <c r="O24" s="8"/>
      <c r="P24" s="8"/>
    </row>
    <row r="25" spans="1:16" ht="12.75">
      <c r="A25" s="45" t="s">
        <v>15</v>
      </c>
      <c r="B25" s="20"/>
      <c r="C25" s="36">
        <f>SUM(C19:C24)/5</f>
        <v>8071.1556</v>
      </c>
      <c r="D25" s="36">
        <f>SUM(D19:D24)/5</f>
        <v>7282.8798</v>
      </c>
      <c r="E25" s="36">
        <f>SUM(E19:E24)/5</f>
        <v>15354.035400000002</v>
      </c>
      <c r="F25" s="36">
        <f>SUM(F19:F24)/5</f>
        <v>47832.50369706403</v>
      </c>
      <c r="G25" s="20"/>
      <c r="H25" s="36"/>
      <c r="I25" s="36"/>
      <c r="J25" s="36"/>
      <c r="K25" s="36"/>
      <c r="L25" s="36"/>
      <c r="M25" s="36">
        <f>SUM(M19:M24)/5</f>
        <v>47832.50369706403</v>
      </c>
      <c r="O25" s="4">
        <f>F25/M25</f>
        <v>1</v>
      </c>
      <c r="P25" s="4">
        <f>L25/M25</f>
        <v>0</v>
      </c>
    </row>
    <row r="26" spans="1:16" ht="12.75">
      <c r="A26" s="45"/>
      <c r="B26" s="20"/>
      <c r="C26" s="36"/>
      <c r="D26" s="36"/>
      <c r="E26" s="36"/>
      <c r="F26" s="36"/>
      <c r="G26" s="20"/>
      <c r="H26" s="36"/>
      <c r="I26" s="36"/>
      <c r="J26" s="36"/>
      <c r="K26" s="36"/>
      <c r="L26" s="36"/>
      <c r="M26" s="36"/>
      <c r="O26" s="8"/>
      <c r="P26" s="8"/>
    </row>
    <row r="27" spans="1:16" ht="12.75">
      <c r="A27" s="45">
        <v>1246</v>
      </c>
      <c r="B27" s="20"/>
      <c r="C27" s="34">
        <v>7643.707</v>
      </c>
      <c r="D27" s="34">
        <v>7095.758</v>
      </c>
      <c r="E27" s="34">
        <f>C27+D27</f>
        <v>14739.465</v>
      </c>
      <c r="F27" s="34">
        <f>3.115305029*E27</f>
        <v>45917.92943926949</v>
      </c>
      <c r="G27" s="20"/>
      <c r="H27" s="36"/>
      <c r="I27" s="34"/>
      <c r="J27" s="34"/>
      <c r="K27" s="34"/>
      <c r="L27" s="34"/>
      <c r="M27" s="34">
        <f>F27+L27</f>
        <v>45917.92943926949</v>
      </c>
      <c r="O27" s="4">
        <f>F27/M27</f>
        <v>1</v>
      </c>
      <c r="P27" s="4">
        <f>L27/M27</f>
        <v>0</v>
      </c>
    </row>
    <row r="28" spans="1:16" ht="12.75">
      <c r="A28" s="45">
        <v>1247</v>
      </c>
      <c r="B28" s="20"/>
      <c r="C28" s="34">
        <v>7903.533</v>
      </c>
      <c r="D28" s="34">
        <v>5717.117</v>
      </c>
      <c r="E28" s="34">
        <f>C28+D28</f>
        <v>13620.650000000001</v>
      </c>
      <c r="F28" s="34">
        <f>3.115305029*E28</f>
        <v>42432.479443248856</v>
      </c>
      <c r="G28" s="20"/>
      <c r="H28" s="36"/>
      <c r="I28" s="34"/>
      <c r="J28" s="34"/>
      <c r="K28" s="34"/>
      <c r="L28" s="34"/>
      <c r="M28" s="34">
        <f>F28+L28</f>
        <v>42432.479443248856</v>
      </c>
      <c r="O28" s="4">
        <f>F28/M28</f>
        <v>1</v>
      </c>
      <c r="P28" s="4">
        <f>L28/M28</f>
        <v>0</v>
      </c>
    </row>
    <row r="29" spans="1:16" ht="12.75">
      <c r="A29" s="45">
        <v>1248</v>
      </c>
      <c r="B29" s="20"/>
      <c r="C29" s="34">
        <v>22142.547</v>
      </c>
      <c r="D29" s="34">
        <v>12322.106</v>
      </c>
      <c r="E29" s="34">
        <f>C29+D29</f>
        <v>34464.653</v>
      </c>
      <c r="F29" s="34">
        <f>3.115305029*E29</f>
        <v>107367.90681363993</v>
      </c>
      <c r="G29" s="20"/>
      <c r="H29" s="36"/>
      <c r="I29" s="34"/>
      <c r="J29" s="34"/>
      <c r="K29" s="34"/>
      <c r="L29" s="34"/>
      <c r="M29" s="34">
        <f>F29+L29</f>
        <v>107367.90681363993</v>
      </c>
      <c r="O29" s="4">
        <f>F29/M29</f>
        <v>1</v>
      </c>
      <c r="P29" s="4">
        <f>L29/M29</f>
        <v>0</v>
      </c>
    </row>
    <row r="30" spans="1:16" ht="12.75">
      <c r="A30" s="45">
        <v>1249</v>
      </c>
      <c r="B30" s="20"/>
      <c r="C30" s="34">
        <v>25657.198</v>
      </c>
      <c r="D30" s="34">
        <v>13347.725</v>
      </c>
      <c r="E30" s="34">
        <f>C30+D30</f>
        <v>39004.923</v>
      </c>
      <c r="F30" s="34">
        <f>3.115305029*E30</f>
        <v>121512.23277765777</v>
      </c>
      <c r="G30" s="20"/>
      <c r="H30" s="36"/>
      <c r="I30" s="34"/>
      <c r="J30" s="34"/>
      <c r="K30" s="34"/>
      <c r="L30" s="34"/>
      <c r="M30" s="34">
        <f>F30+L30</f>
        <v>121512.23277765777</v>
      </c>
      <c r="O30" s="4">
        <f>F30/M30</f>
        <v>1</v>
      </c>
      <c r="P30" s="4">
        <f>L30/M30</f>
        <v>0</v>
      </c>
    </row>
    <row r="31" spans="1:16" ht="12.75">
      <c r="A31" s="45">
        <v>1250</v>
      </c>
      <c r="B31" s="20"/>
      <c r="C31" s="34">
        <v>16736.386</v>
      </c>
      <c r="D31" s="34">
        <v>8662.227</v>
      </c>
      <c r="E31" s="34">
        <f>C31+D31</f>
        <v>25398.612999999998</v>
      </c>
      <c r="F31" s="34">
        <f>3.115305029*E31</f>
        <v>79124.42680852477</v>
      </c>
      <c r="G31" s="20"/>
      <c r="H31" s="36"/>
      <c r="I31" s="34"/>
      <c r="J31" s="34"/>
      <c r="K31" s="34"/>
      <c r="L31" s="34"/>
      <c r="M31" s="34">
        <f>F31+L31</f>
        <v>79124.42680852477</v>
      </c>
      <c r="O31" s="4">
        <f>F31/M31</f>
        <v>1</v>
      </c>
      <c r="P31" s="4">
        <f>L31/M31</f>
        <v>0</v>
      </c>
    </row>
    <row r="32" spans="1:16" ht="12.75">
      <c r="A32" s="45"/>
      <c r="B32" s="20"/>
      <c r="C32" s="36"/>
      <c r="D32" s="36"/>
      <c r="E32" s="36"/>
      <c r="F32" s="36"/>
      <c r="G32" s="20"/>
      <c r="H32" s="36"/>
      <c r="I32" s="36"/>
      <c r="J32" s="36"/>
      <c r="K32" s="36"/>
      <c r="L32" s="36"/>
      <c r="M32" s="36"/>
      <c r="O32" s="8"/>
      <c r="P32" s="8"/>
    </row>
    <row r="33" spans="1:16" ht="12.75">
      <c r="A33" s="45" t="s">
        <v>16</v>
      </c>
      <c r="B33" s="20"/>
      <c r="C33" s="36">
        <f>SUM(C27:C32)/5</f>
        <v>16016.6742</v>
      </c>
      <c r="D33" s="36">
        <f>SUM(D27:D32)/5</f>
        <v>9428.9866</v>
      </c>
      <c r="E33" s="36">
        <f>SUM(E27:E32)/5</f>
        <v>25445.660799999998</v>
      </c>
      <c r="F33" s="36">
        <f>SUM(F27:F32)/5</f>
        <v>79270.99505646815</v>
      </c>
      <c r="G33" s="20"/>
      <c r="H33" s="36"/>
      <c r="I33" s="36"/>
      <c r="J33" s="36"/>
      <c r="K33" s="36"/>
      <c r="L33" s="36"/>
      <c r="M33" s="36">
        <f>SUM(M27:M32)/5</f>
        <v>79270.99505646815</v>
      </c>
      <c r="O33" s="4">
        <f>F33/M33</f>
        <v>1</v>
      </c>
      <c r="P33" s="4">
        <f>L33/M33</f>
        <v>0</v>
      </c>
    </row>
    <row r="34" spans="1:16" ht="12.75">
      <c r="A34" s="45"/>
      <c r="B34" s="20"/>
      <c r="C34" s="36"/>
      <c r="D34" s="36"/>
      <c r="E34" s="36"/>
      <c r="F34" s="36"/>
      <c r="G34" s="20"/>
      <c r="H34" s="36"/>
      <c r="I34" s="36"/>
      <c r="J34" s="36"/>
      <c r="K34" s="36"/>
      <c r="L34" s="36"/>
      <c r="M34" s="36"/>
      <c r="O34" s="8"/>
      <c r="P34" s="8"/>
    </row>
    <row r="35" spans="1:16" ht="12.75">
      <c r="A35" s="45">
        <v>1251</v>
      </c>
      <c r="B35" s="20"/>
      <c r="C35" s="34">
        <v>12180.768</v>
      </c>
      <c r="D35" s="34">
        <v>6569.174</v>
      </c>
      <c r="E35" s="34">
        <f>C35+D35</f>
        <v>18749.942</v>
      </c>
      <c r="F35" s="34">
        <f>3.115305029*E35</f>
        <v>58411.78860605831</v>
      </c>
      <c r="G35" s="20"/>
      <c r="H35" s="36"/>
      <c r="I35" s="34"/>
      <c r="J35" s="34"/>
      <c r="K35" s="34"/>
      <c r="L35" s="34"/>
      <c r="M35" s="34">
        <f>F35+L35</f>
        <v>58411.78860605831</v>
      </c>
      <c r="O35" s="4">
        <f>F35/M35</f>
        <v>1</v>
      </c>
      <c r="P35" s="4">
        <f>L35/M35</f>
        <v>0</v>
      </c>
    </row>
    <row r="36" spans="1:16" ht="12.75">
      <c r="A36" s="45">
        <v>1252</v>
      </c>
      <c r="B36" s="20"/>
      <c r="C36" s="34">
        <v>11627.527</v>
      </c>
      <c r="D36" s="34">
        <v>8655.476</v>
      </c>
      <c r="E36" s="34">
        <f>C36+D36</f>
        <v>20283.003</v>
      </c>
      <c r="F36" s="34">
        <f>3.115305029*E36</f>
        <v>63187.74124912209</v>
      </c>
      <c r="G36" s="20"/>
      <c r="H36" s="36"/>
      <c r="I36" s="34"/>
      <c r="J36" s="34"/>
      <c r="K36" s="34"/>
      <c r="L36" s="34"/>
      <c r="M36" s="34">
        <f>F36+L36</f>
        <v>63187.74124912209</v>
      </c>
      <c r="O36" s="4">
        <f>F36/M36</f>
        <v>1</v>
      </c>
      <c r="P36" s="4">
        <f>L36/M36</f>
        <v>0</v>
      </c>
    </row>
    <row r="37" spans="1:16" ht="12.75">
      <c r="A37" s="45">
        <v>1253</v>
      </c>
      <c r="B37" s="20"/>
      <c r="C37" s="34">
        <v>10852.99</v>
      </c>
      <c r="D37" s="34">
        <v>11576.3</v>
      </c>
      <c r="E37" s="34">
        <f>C37+D37</f>
        <v>22429.29</v>
      </c>
      <c r="F37" s="34">
        <f>3.115305029*E37</f>
        <v>69874.07993389941</v>
      </c>
      <c r="G37" s="20"/>
      <c r="H37" s="36"/>
      <c r="I37" s="34"/>
      <c r="J37" s="34"/>
      <c r="K37" s="34"/>
      <c r="L37" s="34"/>
      <c r="M37" s="34">
        <f>F37+L37</f>
        <v>69874.07993389941</v>
      </c>
      <c r="O37" s="4">
        <f>F37/M37</f>
        <v>1</v>
      </c>
      <c r="P37" s="4">
        <f>L37/M37</f>
        <v>0</v>
      </c>
    </row>
    <row r="38" spans="1:16" ht="12.75">
      <c r="A38" s="45">
        <v>1254</v>
      </c>
      <c r="B38" s="20"/>
      <c r="C38" s="34">
        <v>10852.99</v>
      </c>
      <c r="D38" s="34">
        <v>11576.3</v>
      </c>
      <c r="E38" s="34">
        <f>C38+D38</f>
        <v>22429.29</v>
      </c>
      <c r="F38" s="34">
        <f>3.115305029*E38</f>
        <v>69874.07993389941</v>
      </c>
      <c r="G38" s="20"/>
      <c r="H38" s="36"/>
      <c r="I38" s="34"/>
      <c r="J38" s="34"/>
      <c r="K38" s="34"/>
      <c r="L38" s="34"/>
      <c r="M38" s="34">
        <f>F38+L38</f>
        <v>69874.07993389941</v>
      </c>
      <c r="O38" s="4">
        <f>F38/M38</f>
        <v>1</v>
      </c>
      <c r="P38" s="4">
        <f>L38/M38</f>
        <v>0</v>
      </c>
    </row>
    <row r="39" spans="1:16" ht="12.75">
      <c r="A39" s="45">
        <v>1255</v>
      </c>
      <c r="B39" s="20"/>
      <c r="C39" s="34">
        <v>10029.941</v>
      </c>
      <c r="D39" s="34">
        <v>12688.925</v>
      </c>
      <c r="E39" s="34">
        <f>C39+D39</f>
        <v>22718.866</v>
      </c>
      <c r="F39" s="34">
        <f>3.115305029*E39</f>
        <v>70776.19750297711</v>
      </c>
      <c r="G39" s="20"/>
      <c r="H39" s="36"/>
      <c r="I39" s="34"/>
      <c r="J39" s="34"/>
      <c r="K39" s="34"/>
      <c r="L39" s="34"/>
      <c r="M39" s="34">
        <f>F39+L39</f>
        <v>70776.19750297711</v>
      </c>
      <c r="O39" s="4">
        <f>F39/M39</f>
        <v>1</v>
      </c>
      <c r="P39" s="4">
        <f>L39/M39</f>
        <v>0</v>
      </c>
    </row>
    <row r="40" spans="1:16" ht="12.75">
      <c r="A40" s="45"/>
      <c r="B40" s="20"/>
      <c r="C40" s="36"/>
      <c r="D40" s="36"/>
      <c r="E40" s="36"/>
      <c r="F40" s="36"/>
      <c r="G40" s="20"/>
      <c r="H40" s="36"/>
      <c r="I40" s="36"/>
      <c r="J40" s="36"/>
      <c r="K40" s="36"/>
      <c r="L40" s="36"/>
      <c r="M40" s="36"/>
      <c r="O40" s="8"/>
      <c r="P40" s="8"/>
    </row>
    <row r="41" spans="1:16" ht="12.75">
      <c r="A41" s="45" t="s">
        <v>17</v>
      </c>
      <c r="B41" s="20"/>
      <c r="C41" s="36">
        <f>SUM(C35:C40)/5</f>
        <v>11108.8432</v>
      </c>
      <c r="D41" s="36">
        <f>SUM(D35:D40)/5</f>
        <v>10213.235</v>
      </c>
      <c r="E41" s="36">
        <f>SUM(E35:E40)/5</f>
        <v>21322.0782</v>
      </c>
      <c r="F41" s="36">
        <f>SUM(F35:F40)/5</f>
        <v>66424.77744519126</v>
      </c>
      <c r="G41" s="20"/>
      <c r="H41" s="36"/>
      <c r="I41" s="36"/>
      <c r="J41" s="36"/>
      <c r="K41" s="36"/>
      <c r="L41" s="36"/>
      <c r="M41" s="36">
        <f>SUM(M35:M40)/5</f>
        <v>66424.77744519126</v>
      </c>
      <c r="O41" s="4">
        <f>F41/M41</f>
        <v>1</v>
      </c>
      <c r="P41" s="4">
        <f>L41/M41</f>
        <v>0</v>
      </c>
    </row>
    <row r="42" spans="1:16" ht="12.75">
      <c r="A42" s="45"/>
      <c r="B42" s="20"/>
      <c r="C42" s="36"/>
      <c r="D42" s="36"/>
      <c r="E42" s="36"/>
      <c r="F42" s="36"/>
      <c r="G42" s="20"/>
      <c r="H42" s="36"/>
      <c r="I42" s="36"/>
      <c r="J42" s="36"/>
      <c r="K42" s="36"/>
      <c r="L42" s="36"/>
      <c r="M42" s="36"/>
      <c r="O42" s="8"/>
      <c r="P42" s="8"/>
    </row>
    <row r="43" spans="1:16" ht="12.75">
      <c r="A43" s="45">
        <v>1256</v>
      </c>
      <c r="B43" s="20"/>
      <c r="C43" s="34">
        <v>9967.097</v>
      </c>
      <c r="D43" s="34">
        <v>12458.17</v>
      </c>
      <c r="E43" s="34">
        <f>C43+D43</f>
        <v>22425.267</v>
      </c>
      <c r="F43" s="34">
        <f>3.115305029*E43</f>
        <v>69861.54706176773</v>
      </c>
      <c r="G43" s="20"/>
      <c r="H43" s="36"/>
      <c r="I43" s="34"/>
      <c r="J43" s="34"/>
      <c r="K43" s="34"/>
      <c r="L43" s="34"/>
      <c r="M43" s="34">
        <f>F43+L43</f>
        <v>69861.54706176773</v>
      </c>
      <c r="O43" s="4">
        <f>F43/M43</f>
        <v>1</v>
      </c>
      <c r="P43" s="4">
        <f>L43/M43</f>
        <v>0</v>
      </c>
    </row>
    <row r="44" spans="1:16" ht="12.75">
      <c r="A44" s="45">
        <v>1257</v>
      </c>
      <c r="B44" s="20"/>
      <c r="C44" s="34">
        <v>9636.059</v>
      </c>
      <c r="D44" s="34">
        <v>12211.478</v>
      </c>
      <c r="E44" s="34">
        <f>C44+D44</f>
        <v>21847.536999999997</v>
      </c>
      <c r="F44" s="34">
        <f>3.115305029*E44</f>
        <v>68061.74188736356</v>
      </c>
      <c r="G44" s="20"/>
      <c r="H44" s="36"/>
      <c r="I44" s="34"/>
      <c r="J44" s="34"/>
      <c r="K44" s="34"/>
      <c r="L44" s="34"/>
      <c r="M44" s="34">
        <f>F44+L44</f>
        <v>68061.74188736356</v>
      </c>
      <c r="O44" s="4">
        <f>F44/M44</f>
        <v>1</v>
      </c>
      <c r="P44" s="4">
        <f>L44/M44</f>
        <v>0</v>
      </c>
    </row>
    <row r="45" spans="1:16" ht="12.75">
      <c r="A45" s="45">
        <v>1258</v>
      </c>
      <c r="B45" s="20"/>
      <c r="C45" s="34">
        <v>7516.404</v>
      </c>
      <c r="D45" s="34">
        <v>9266.514</v>
      </c>
      <c r="E45" s="34">
        <f>C45+D45</f>
        <v>16782.917999999998</v>
      </c>
      <c r="F45" s="34">
        <f>3.115305029*E45</f>
        <v>52283.90884669461</v>
      </c>
      <c r="G45" s="20"/>
      <c r="H45" s="36"/>
      <c r="I45" s="34"/>
      <c r="J45" s="34"/>
      <c r="K45" s="34"/>
      <c r="L45" s="34"/>
      <c r="M45" s="34">
        <f>F45+L45</f>
        <v>52283.90884669461</v>
      </c>
      <c r="O45" s="4">
        <f>F45/M45</f>
        <v>1</v>
      </c>
      <c r="P45" s="4">
        <f>L45/M45</f>
        <v>0</v>
      </c>
    </row>
    <row r="46" spans="1:16" ht="12.75">
      <c r="A46" s="45">
        <v>1259</v>
      </c>
      <c r="B46" s="20"/>
      <c r="C46" s="34">
        <v>7156.498</v>
      </c>
      <c r="D46" s="34">
        <v>11343.891</v>
      </c>
      <c r="E46" s="34">
        <f>C46+D46</f>
        <v>18500.389</v>
      </c>
      <c r="F46" s="34">
        <f>3.115305029*E46</f>
        <v>57634.354890156275</v>
      </c>
      <c r="G46" s="20"/>
      <c r="H46" s="36"/>
      <c r="I46" s="34"/>
      <c r="J46" s="34"/>
      <c r="K46" s="34"/>
      <c r="L46" s="34"/>
      <c r="M46" s="34">
        <f>F46+L46</f>
        <v>57634.354890156275</v>
      </c>
      <c r="O46" s="4">
        <f>F46/M46</f>
        <v>1</v>
      </c>
      <c r="P46" s="4">
        <f>L46/M46</f>
        <v>0</v>
      </c>
    </row>
    <row r="47" spans="1:16" ht="12.75">
      <c r="A47" s="45">
        <v>1260</v>
      </c>
      <c r="B47" s="20"/>
      <c r="C47" s="34">
        <v>6311.931</v>
      </c>
      <c r="D47" s="34">
        <v>7760.885</v>
      </c>
      <c r="E47" s="34">
        <f>C47+D47</f>
        <v>14072.815999999999</v>
      </c>
      <c r="F47" s="34">
        <f>3.115305029*E47</f>
        <v>43841.11445699166</v>
      </c>
      <c r="G47" s="20"/>
      <c r="H47" s="36"/>
      <c r="I47" s="34"/>
      <c r="J47" s="34"/>
      <c r="K47" s="34"/>
      <c r="L47" s="34"/>
      <c r="M47" s="34">
        <f>F47+L47</f>
        <v>43841.11445699166</v>
      </c>
      <c r="O47" s="4">
        <f>F47/M47</f>
        <v>1</v>
      </c>
      <c r="P47" s="4">
        <f>L47/M47</f>
        <v>0</v>
      </c>
    </row>
    <row r="48" spans="1:16" ht="12.75">
      <c r="A48" s="45"/>
      <c r="B48" s="20"/>
      <c r="C48" s="36"/>
      <c r="D48" s="36"/>
      <c r="E48" s="36"/>
      <c r="F48" s="36"/>
      <c r="G48" s="20"/>
      <c r="H48" s="36"/>
      <c r="I48" s="36"/>
      <c r="J48" s="36"/>
      <c r="K48" s="36"/>
      <c r="L48" s="36"/>
      <c r="M48" s="36"/>
      <c r="O48" s="8"/>
      <c r="P48" s="8"/>
    </row>
    <row r="49" spans="1:16" ht="12.75">
      <c r="A49" s="45" t="s">
        <v>18</v>
      </c>
      <c r="B49" s="20"/>
      <c r="C49" s="36">
        <f>SUM(C43:C48)/5</f>
        <v>8117.597799999999</v>
      </c>
      <c r="D49" s="36">
        <f>SUM(D43:D48)/5</f>
        <v>10608.187600000001</v>
      </c>
      <c r="E49" s="36">
        <f>SUM(E43:E48)/5</f>
        <v>18725.7854</v>
      </c>
      <c r="F49" s="36">
        <f>SUM(F43:F48)/5</f>
        <v>58336.53342859476</v>
      </c>
      <c r="G49" s="20"/>
      <c r="H49" s="36"/>
      <c r="I49" s="36"/>
      <c r="J49" s="36"/>
      <c r="K49" s="36"/>
      <c r="L49" s="36"/>
      <c r="M49" s="36">
        <f>SUM(M43:M48)/5</f>
        <v>58336.53342859476</v>
      </c>
      <c r="O49" s="4">
        <f>F49/M49</f>
        <v>1</v>
      </c>
      <c r="P49" s="4">
        <f>L49/M49</f>
        <v>0</v>
      </c>
    </row>
    <row r="50" spans="1:16" ht="12.75">
      <c r="A50" s="45"/>
      <c r="B50" s="20"/>
      <c r="C50" s="36"/>
      <c r="D50" s="36"/>
      <c r="E50" s="36"/>
      <c r="F50" s="36"/>
      <c r="G50" s="20"/>
      <c r="H50" s="36"/>
      <c r="I50" s="36"/>
      <c r="J50" s="36"/>
      <c r="K50" s="36"/>
      <c r="L50" s="36"/>
      <c r="M50" s="36"/>
      <c r="O50" s="8"/>
      <c r="P50" s="8"/>
    </row>
    <row r="51" spans="1:16" ht="12.75">
      <c r="A51" s="45">
        <v>1261</v>
      </c>
      <c r="B51" s="20"/>
      <c r="C51" s="34">
        <v>8779.173</v>
      </c>
      <c r="D51" s="34">
        <v>12409.231</v>
      </c>
      <c r="E51" s="34">
        <f>C51+D51</f>
        <v>21188.404000000002</v>
      </c>
      <c r="F51" s="34">
        <f>3.115305029*E51</f>
        <v>66008.34153768372</v>
      </c>
      <c r="G51" s="20"/>
      <c r="H51" s="36"/>
      <c r="I51" s="34"/>
      <c r="J51" s="34"/>
      <c r="K51" s="34"/>
      <c r="L51" s="34"/>
      <c r="M51" s="34">
        <f>F51+L51</f>
        <v>66008.34153768372</v>
      </c>
      <c r="O51" s="4">
        <f>F51/M51</f>
        <v>1</v>
      </c>
      <c r="P51" s="4">
        <f>L51/M51</f>
        <v>0</v>
      </c>
    </row>
    <row r="52" spans="1:16" ht="12.75">
      <c r="A52" s="45">
        <v>1262</v>
      </c>
      <c r="B52" s="20"/>
      <c r="C52" s="34">
        <v>8158.916</v>
      </c>
      <c r="D52" s="34">
        <v>8162.839</v>
      </c>
      <c r="E52" s="34">
        <f>C52+D52</f>
        <v>16321.755000000001</v>
      </c>
      <c r="F52" s="34">
        <f>3.115305029*E52</f>
        <v>50847.245433605895</v>
      </c>
      <c r="G52" s="20"/>
      <c r="H52" s="36"/>
      <c r="I52" s="34"/>
      <c r="J52" s="34"/>
      <c r="K52" s="34"/>
      <c r="L52" s="34"/>
      <c r="M52" s="34">
        <f>F52+L52</f>
        <v>50847.245433605895</v>
      </c>
      <c r="O52" s="4">
        <f>F52/M52</f>
        <v>1</v>
      </c>
      <c r="P52" s="4">
        <f>L52/M52</f>
        <v>0</v>
      </c>
    </row>
    <row r="53" spans="1:16" ht="12.75">
      <c r="A53" s="45">
        <v>1263</v>
      </c>
      <c r="B53" s="20"/>
      <c r="C53" s="34">
        <v>10293.466</v>
      </c>
      <c r="D53" s="34">
        <v>6621.438</v>
      </c>
      <c r="E53" s="34">
        <f>C53+D53</f>
        <v>16914.904000000002</v>
      </c>
      <c r="F53" s="34">
        <f>3.115305029*E53</f>
        <v>52695.08549625222</v>
      </c>
      <c r="G53" s="20"/>
      <c r="H53" s="36"/>
      <c r="I53" s="34"/>
      <c r="J53" s="34"/>
      <c r="K53" s="34"/>
      <c r="L53" s="34"/>
      <c r="M53" s="34">
        <f>F53+L53</f>
        <v>52695.08549625222</v>
      </c>
      <c r="O53" s="4">
        <f>F53/M53</f>
        <v>1</v>
      </c>
      <c r="P53" s="4">
        <f>L53/M53</f>
        <v>0</v>
      </c>
    </row>
    <row r="54" spans="1:16" ht="12.75">
      <c r="A54" s="45">
        <v>1264</v>
      </c>
      <c r="B54" s="20"/>
      <c r="C54" s="34">
        <v>6221.688</v>
      </c>
      <c r="D54" s="34">
        <v>2278.866</v>
      </c>
      <c r="E54" s="34">
        <f>C54+D54</f>
        <v>8500.554</v>
      </c>
      <c r="F54" s="34">
        <f>3.115305029*E54</f>
        <v>26481.818625486067</v>
      </c>
      <c r="G54" s="20"/>
      <c r="H54" s="36"/>
      <c r="I54" s="34"/>
      <c r="J54" s="34"/>
      <c r="K54" s="34"/>
      <c r="L54" s="34"/>
      <c r="M54" s="34">
        <f>F54+L54</f>
        <v>26481.818625486067</v>
      </c>
      <c r="O54" s="4">
        <f>F54/M54</f>
        <v>1</v>
      </c>
      <c r="P54" s="4">
        <f>L54/M54</f>
        <v>0</v>
      </c>
    </row>
    <row r="55" spans="1:16" ht="12.75">
      <c r="A55" s="45">
        <v>1265</v>
      </c>
      <c r="B55" s="20"/>
      <c r="C55" s="34">
        <v>4425.995</v>
      </c>
      <c r="D55" s="34">
        <v>3906.836</v>
      </c>
      <c r="E55" s="34">
        <f>C55+D55</f>
        <v>8332.831</v>
      </c>
      <c r="F55" s="34">
        <f>3.115305029*E55</f>
        <v>25959.3103201071</v>
      </c>
      <c r="G55" s="20"/>
      <c r="H55" s="36"/>
      <c r="I55" s="34"/>
      <c r="J55" s="34"/>
      <c r="K55" s="34"/>
      <c r="L55" s="34"/>
      <c r="M55" s="34">
        <f>F55+L55</f>
        <v>25959.3103201071</v>
      </c>
      <c r="O55" s="4">
        <f>F55/M55</f>
        <v>1</v>
      </c>
      <c r="P55" s="4">
        <f>L55/M55</f>
        <v>0</v>
      </c>
    </row>
    <row r="56" spans="1:16" ht="12.75">
      <c r="A56" s="45"/>
      <c r="B56" s="20"/>
      <c r="C56" s="36"/>
      <c r="D56" s="36"/>
      <c r="E56" s="36"/>
      <c r="F56" s="36"/>
      <c r="G56" s="20"/>
      <c r="H56" s="36"/>
      <c r="I56" s="36"/>
      <c r="J56" s="36"/>
      <c r="K56" s="36"/>
      <c r="L56" s="36"/>
      <c r="M56" s="36"/>
      <c r="O56" s="8"/>
      <c r="P56" s="8"/>
    </row>
    <row r="57" spans="1:16" ht="12.75">
      <c r="A57" s="45" t="s">
        <v>20</v>
      </c>
      <c r="B57" s="20"/>
      <c r="C57" s="36">
        <f>SUM(C51:C56)/5</f>
        <v>7575.847600000001</v>
      </c>
      <c r="D57" s="36">
        <f>SUM(D51:D56)/5</f>
        <v>6675.8420000000015</v>
      </c>
      <c r="E57" s="36">
        <f>SUM(E51:E56)/5</f>
        <v>14251.689600000002</v>
      </c>
      <c r="F57" s="36">
        <f>SUM(F51:F56)/5</f>
        <v>44398.36028262701</v>
      </c>
      <c r="G57" s="20"/>
      <c r="H57" s="36"/>
      <c r="I57" s="36"/>
      <c r="J57" s="36"/>
      <c r="K57" s="36"/>
      <c r="L57" s="36"/>
      <c r="M57" s="36">
        <f>SUM(M51:M56)/5</f>
        <v>44398.36028262701</v>
      </c>
      <c r="O57" s="4">
        <f>F57/M57</f>
        <v>1</v>
      </c>
      <c r="P57" s="4">
        <f>L57/M57</f>
        <v>0</v>
      </c>
    </row>
    <row r="58" spans="1:16" ht="12.75">
      <c r="A58" s="45"/>
      <c r="B58" s="20"/>
      <c r="C58" s="36"/>
      <c r="D58" s="36"/>
      <c r="E58" s="36"/>
      <c r="F58" s="36"/>
      <c r="G58" s="20"/>
      <c r="H58" s="36"/>
      <c r="I58" s="36"/>
      <c r="J58" s="36"/>
      <c r="K58" s="36"/>
      <c r="L58" s="36"/>
      <c r="M58" s="36"/>
      <c r="O58" s="8"/>
      <c r="P58" s="8"/>
    </row>
    <row r="59" spans="1:16" ht="12.75">
      <c r="A59" s="45">
        <v>1266</v>
      </c>
      <c r="B59" s="20"/>
      <c r="C59" s="34">
        <v>9855.819</v>
      </c>
      <c r="D59" s="34">
        <v>5224.364</v>
      </c>
      <c r="E59" s="34">
        <f>C59+D59</f>
        <v>15080.182999999999</v>
      </c>
      <c r="F59" s="34">
        <f>3.115305029*E59</f>
        <v>46979.369938140306</v>
      </c>
      <c r="G59" s="20"/>
      <c r="H59" s="36"/>
      <c r="I59" s="34"/>
      <c r="J59" s="34"/>
      <c r="K59" s="34"/>
      <c r="L59" s="34"/>
      <c r="M59" s="34">
        <f>F59+L59</f>
        <v>46979.369938140306</v>
      </c>
      <c r="O59" s="4">
        <f>F59/M59</f>
        <v>1</v>
      </c>
      <c r="P59" s="4">
        <f>L59/M59</f>
        <v>0</v>
      </c>
    </row>
    <row r="60" spans="1:16" ht="12.75">
      <c r="A60" s="45">
        <v>1267</v>
      </c>
      <c r="B60" s="20"/>
      <c r="C60" s="34">
        <v>5063.293</v>
      </c>
      <c r="D60" s="34">
        <v>1854.773</v>
      </c>
      <c r="E60" s="34">
        <f>C60+D60</f>
        <v>6918.066</v>
      </c>
      <c r="F60" s="34">
        <f>3.115305029*E60</f>
        <v>21551.885800753913</v>
      </c>
      <c r="G60" s="20"/>
      <c r="H60" s="36"/>
      <c r="I60" s="34"/>
      <c r="J60" s="34"/>
      <c r="K60" s="34"/>
      <c r="L60" s="34"/>
      <c r="M60" s="34">
        <f>F60+L60</f>
        <v>21551.885800753913</v>
      </c>
      <c r="O60" s="4">
        <f>F60/M60</f>
        <v>1</v>
      </c>
      <c r="P60" s="4">
        <f>L60/M60</f>
        <v>0</v>
      </c>
    </row>
    <row r="61" spans="1:16" ht="12.75">
      <c r="A61" s="45">
        <v>1268</v>
      </c>
      <c r="B61" s="20"/>
      <c r="C61" s="34">
        <v>5063.293</v>
      </c>
      <c r="D61" s="34">
        <v>1854.773</v>
      </c>
      <c r="E61" s="34">
        <f>C61+D61</f>
        <v>6918.066</v>
      </c>
      <c r="F61" s="34">
        <f>3.115305029*E61</f>
        <v>21551.885800753913</v>
      </c>
      <c r="G61" s="20"/>
      <c r="H61" s="36"/>
      <c r="I61" s="34"/>
      <c r="J61" s="34"/>
      <c r="K61" s="34"/>
      <c r="L61" s="34"/>
      <c r="M61" s="34">
        <f>F61+L61</f>
        <v>21551.885800753913</v>
      </c>
      <c r="O61" s="4">
        <f>F61/M61</f>
        <v>1</v>
      </c>
      <c r="P61" s="4">
        <f>L61/M61</f>
        <v>0</v>
      </c>
    </row>
    <row r="62" spans="1:16" ht="12.75">
      <c r="A62" s="45">
        <v>1269</v>
      </c>
      <c r="B62" s="20"/>
      <c r="C62" s="34">
        <v>5063.293</v>
      </c>
      <c r="D62" s="34">
        <v>1854.773</v>
      </c>
      <c r="E62" s="34">
        <f>C62+D62</f>
        <v>6918.066</v>
      </c>
      <c r="F62" s="34">
        <f>3.115305029*E62</f>
        <v>21551.885800753913</v>
      </c>
      <c r="G62" s="20"/>
      <c r="H62" s="36"/>
      <c r="I62" s="34"/>
      <c r="J62" s="34"/>
      <c r="K62" s="34"/>
      <c r="L62" s="34"/>
      <c r="M62" s="34">
        <f>F62+L62</f>
        <v>21551.885800753913</v>
      </c>
      <c r="O62" s="4">
        <f>F62/M62</f>
        <v>1</v>
      </c>
      <c r="P62" s="4">
        <f>L62/M62</f>
        <v>0</v>
      </c>
    </row>
    <row r="63" spans="1:16" ht="12.75">
      <c r="A63" s="45">
        <v>1270</v>
      </c>
      <c r="B63" s="20"/>
      <c r="C63" s="34">
        <v>5063.293</v>
      </c>
      <c r="D63" s="34">
        <v>1854.773</v>
      </c>
      <c r="E63" s="34">
        <f>C63+D63</f>
        <v>6918.066</v>
      </c>
      <c r="F63" s="34">
        <f>3.115305029*E63</f>
        <v>21551.885800753913</v>
      </c>
      <c r="G63" s="20"/>
      <c r="H63" s="36"/>
      <c r="I63" s="34"/>
      <c r="J63" s="34"/>
      <c r="K63" s="34"/>
      <c r="L63" s="34"/>
      <c r="M63" s="34">
        <f>F63+L63</f>
        <v>21551.885800753913</v>
      </c>
      <c r="O63" s="4">
        <f>F63/M63</f>
        <v>1</v>
      </c>
      <c r="P63" s="4">
        <f>L63/M63</f>
        <v>0</v>
      </c>
    </row>
    <row r="64" spans="1:16" ht="12.75">
      <c r="A64" s="45"/>
      <c r="B64" s="20"/>
      <c r="C64" s="36"/>
      <c r="D64" s="36"/>
      <c r="E64" s="36"/>
      <c r="F64" s="36"/>
      <c r="G64" s="20"/>
      <c r="H64" s="36"/>
      <c r="I64" s="36"/>
      <c r="J64" s="36"/>
      <c r="K64" s="36"/>
      <c r="L64" s="36"/>
      <c r="M64" s="36"/>
      <c r="O64" s="8"/>
      <c r="P64" s="8"/>
    </row>
    <row r="65" spans="1:16" ht="12.75">
      <c r="A65" s="45" t="s">
        <v>21</v>
      </c>
      <c r="B65" s="20"/>
      <c r="C65" s="36">
        <f>SUM(C59:C64)/5</f>
        <v>6021.798199999999</v>
      </c>
      <c r="D65" s="36">
        <f>SUM(D59:D64)/5</f>
        <v>2528.6911999999998</v>
      </c>
      <c r="E65" s="36">
        <f>SUM(E59:E64)/5</f>
        <v>8550.4894</v>
      </c>
      <c r="F65" s="36">
        <f>SUM(F59:F64)/5</f>
        <v>26637.382628231193</v>
      </c>
      <c r="G65" s="20"/>
      <c r="H65" s="36"/>
      <c r="I65" s="36"/>
      <c r="J65" s="36"/>
      <c r="K65" s="36"/>
      <c r="L65" s="36"/>
      <c r="M65" s="36">
        <f>SUM(M59:M64)/5</f>
        <v>26637.382628231193</v>
      </c>
      <c r="O65" s="4">
        <f>F65/M65</f>
        <v>1</v>
      </c>
      <c r="P65" s="4">
        <f>L65/M65</f>
        <v>0</v>
      </c>
    </row>
    <row r="66" spans="1:16" ht="12.75">
      <c r="A66" s="45"/>
      <c r="B66" s="20"/>
      <c r="C66" s="36"/>
      <c r="D66" s="36"/>
      <c r="E66" s="36"/>
      <c r="F66" s="36"/>
      <c r="G66" s="20"/>
      <c r="H66" s="36"/>
      <c r="I66" s="36"/>
      <c r="J66" s="36"/>
      <c r="K66" s="36"/>
      <c r="L66" s="36"/>
      <c r="M66" s="36"/>
      <c r="O66" s="8"/>
      <c r="P66" s="8"/>
    </row>
    <row r="67" spans="1:16" ht="12.75">
      <c r="A67" s="45">
        <v>1271</v>
      </c>
      <c r="B67" s="20"/>
      <c r="C67" s="34">
        <v>3621.734</v>
      </c>
      <c r="D67" s="34">
        <v>544.482</v>
      </c>
      <c r="E67" s="34">
        <f>C67+D67</f>
        <v>4166.216</v>
      </c>
      <c r="F67" s="34">
        <f>3.115305029*E67</f>
        <v>12979.033656700265</v>
      </c>
      <c r="G67" s="20"/>
      <c r="H67" s="36"/>
      <c r="I67" s="34"/>
      <c r="J67" s="34"/>
      <c r="K67" s="34"/>
      <c r="L67" s="34"/>
      <c r="M67" s="34">
        <f>F67+L67</f>
        <v>12979.033656700265</v>
      </c>
      <c r="O67" s="4">
        <f>F67/M67</f>
        <v>1</v>
      </c>
      <c r="P67" s="4">
        <f>L67/M67</f>
        <v>0</v>
      </c>
    </row>
    <row r="68" spans="1:16" ht="12.75">
      <c r="A68" s="45">
        <v>1272</v>
      </c>
      <c r="B68" s="20"/>
      <c r="C68" s="34">
        <v>3141.216</v>
      </c>
      <c r="D68" s="34">
        <v>107.718</v>
      </c>
      <c r="E68" s="34">
        <f>C68+D68</f>
        <v>3248.9339999999997</v>
      </c>
      <c r="F68" s="34">
        <f>3.115305029*E68</f>
        <v>10121.420429089085</v>
      </c>
      <c r="G68" s="20"/>
      <c r="H68" s="36"/>
      <c r="I68" s="34"/>
      <c r="J68" s="34"/>
      <c r="K68" s="34"/>
      <c r="L68" s="34"/>
      <c r="M68" s="34">
        <f>F68+L68</f>
        <v>10121.420429089085</v>
      </c>
      <c r="O68" s="4">
        <f>F68/M68</f>
        <v>1</v>
      </c>
      <c r="P68" s="4">
        <f>L68/M68</f>
        <v>0</v>
      </c>
    </row>
    <row r="69" spans="1:16" ht="12.75">
      <c r="A69" s="45">
        <v>1273</v>
      </c>
      <c r="B69" s="20"/>
      <c r="C69" s="34">
        <v>2341.593</v>
      </c>
      <c r="D69" s="34">
        <v>195.157</v>
      </c>
      <c r="E69" s="34">
        <f>C69+D69</f>
        <v>2536.75</v>
      </c>
      <c r="F69" s="34">
        <f>3.115305029*E69</f>
        <v>7902.75003231575</v>
      </c>
      <c r="G69" s="20"/>
      <c r="H69" s="36"/>
      <c r="I69" s="34"/>
      <c r="J69" s="34"/>
      <c r="K69" s="34"/>
      <c r="L69" s="34"/>
      <c r="M69" s="34">
        <f>F69+L69</f>
        <v>7902.75003231575</v>
      </c>
      <c r="O69" s="4">
        <f>F69/M69</f>
        <v>1</v>
      </c>
      <c r="P69" s="4">
        <f>L69/M69</f>
        <v>0</v>
      </c>
    </row>
    <row r="70" spans="1:16" ht="12.75">
      <c r="A70" s="45">
        <v>1274</v>
      </c>
      <c r="B70" s="20"/>
      <c r="C70" s="34">
        <v>4292.649</v>
      </c>
      <c r="D70" s="34">
        <v>167.626</v>
      </c>
      <c r="E70" s="34">
        <f>C70+D70</f>
        <v>4460.275000000001</v>
      </c>
      <c r="F70" s="34">
        <f>3.115305029*E70</f>
        <v>13895.117138222977</v>
      </c>
      <c r="G70" s="20"/>
      <c r="H70" s="36"/>
      <c r="I70" s="34"/>
      <c r="J70" s="34"/>
      <c r="K70" s="34"/>
      <c r="L70" s="34"/>
      <c r="M70" s="34">
        <f>F70+L70</f>
        <v>13895.117138222977</v>
      </c>
      <c r="O70" s="4">
        <f>F70/M70</f>
        <v>1</v>
      </c>
      <c r="P70" s="4">
        <f>L70/M70</f>
        <v>0</v>
      </c>
    </row>
    <row r="71" spans="1:16" ht="12.75">
      <c r="A71" s="45">
        <v>1275</v>
      </c>
      <c r="B71" s="20"/>
      <c r="C71" s="34">
        <v>3386.267</v>
      </c>
      <c r="D71" s="34"/>
      <c r="E71" s="34">
        <f>C71+D71</f>
        <v>3386.267</v>
      </c>
      <c r="F71" s="34">
        <f>3.115305029*E71</f>
        <v>10549.254614636742</v>
      </c>
      <c r="G71" s="20"/>
      <c r="H71" s="36"/>
      <c r="I71" s="34"/>
      <c r="J71" s="34"/>
      <c r="K71" s="34"/>
      <c r="L71" s="34"/>
      <c r="M71" s="34">
        <f>F71+L71</f>
        <v>10549.254614636742</v>
      </c>
      <c r="O71" s="4">
        <f>F71/M71</f>
        <v>1</v>
      </c>
      <c r="P71" s="4">
        <f>L71/M71</f>
        <v>0</v>
      </c>
    </row>
    <row r="72" spans="1:16" ht="12.75">
      <c r="A72" s="45"/>
      <c r="B72" s="20"/>
      <c r="C72" s="36"/>
      <c r="D72" s="36"/>
      <c r="E72" s="36"/>
      <c r="F72" s="36"/>
      <c r="G72" s="20"/>
      <c r="H72" s="36"/>
      <c r="I72" s="36"/>
      <c r="J72" s="36"/>
      <c r="K72" s="36"/>
      <c r="L72" s="36"/>
      <c r="M72" s="36"/>
      <c r="O72" s="8"/>
      <c r="P72" s="8"/>
    </row>
    <row r="73" spans="1:16" ht="12.75">
      <c r="A73" s="45" t="s">
        <v>22</v>
      </c>
      <c r="B73" s="20"/>
      <c r="C73" s="36">
        <f>SUM(C67:C72)/5</f>
        <v>3356.6917999999996</v>
      </c>
      <c r="D73" s="36">
        <f>SUM(D67:D72)/5</f>
        <v>202.9966</v>
      </c>
      <c r="E73" s="36">
        <f>SUM(E67:E72)/5</f>
        <v>3559.6884</v>
      </c>
      <c r="F73" s="36">
        <f>SUM(F67:F72)/5</f>
        <v>11089.515174192964</v>
      </c>
      <c r="G73" s="20"/>
      <c r="H73" s="36"/>
      <c r="I73" s="36"/>
      <c r="J73" s="36"/>
      <c r="K73" s="36"/>
      <c r="L73" s="36"/>
      <c r="M73" s="36">
        <f>SUM(M67:M72)/5</f>
        <v>11089.515174192964</v>
      </c>
      <c r="O73" s="4">
        <f>F73/M73</f>
        <v>1</v>
      </c>
      <c r="P73" s="4">
        <f>L73/M73</f>
        <v>0</v>
      </c>
    </row>
    <row r="74" spans="1:16" ht="12.75">
      <c r="A74" s="45"/>
      <c r="B74" s="20"/>
      <c r="C74" s="36"/>
      <c r="D74" s="36"/>
      <c r="E74" s="36"/>
      <c r="F74" s="36"/>
      <c r="G74" s="20"/>
      <c r="H74" s="36"/>
      <c r="I74" s="36"/>
      <c r="J74" s="36"/>
      <c r="K74" s="36"/>
      <c r="L74" s="36"/>
      <c r="M74" s="36"/>
      <c r="O74" s="8"/>
      <c r="P74" s="8"/>
    </row>
    <row r="75" spans="1:16" ht="12.75">
      <c r="A75" s="45">
        <v>1276</v>
      </c>
      <c r="B75" s="20"/>
      <c r="C75" s="34">
        <v>5671.606</v>
      </c>
      <c r="D75" s="34"/>
      <c r="E75" s="34">
        <f>C75+D75</f>
        <v>5671.606</v>
      </c>
      <c r="F75" s="34">
        <f>3.115305029*E75</f>
        <v>17668.782694306574</v>
      </c>
      <c r="G75" s="20"/>
      <c r="H75" s="36"/>
      <c r="I75" s="34"/>
      <c r="J75" s="34"/>
      <c r="K75" s="34"/>
      <c r="L75" s="34"/>
      <c r="M75" s="34">
        <f>F75+L75</f>
        <v>17668.782694306574</v>
      </c>
      <c r="O75" s="4">
        <f>F75/M75</f>
        <v>1</v>
      </c>
      <c r="P75" s="4">
        <f>L75/M75</f>
        <v>0</v>
      </c>
    </row>
    <row r="76" spans="1:16" ht="12.75">
      <c r="A76" s="45">
        <v>1277</v>
      </c>
      <c r="B76" s="20"/>
      <c r="C76" s="34">
        <v>5671.606</v>
      </c>
      <c r="D76" s="34"/>
      <c r="E76" s="34">
        <f>C76+D76</f>
        <v>5671.606</v>
      </c>
      <c r="F76" s="34">
        <f>3.115305029*E76</f>
        <v>17668.782694306574</v>
      </c>
      <c r="G76" s="20"/>
      <c r="H76" s="36"/>
      <c r="I76" s="34"/>
      <c r="J76" s="34"/>
      <c r="K76" s="34"/>
      <c r="L76" s="34"/>
      <c r="M76" s="34">
        <f>F76+L76</f>
        <v>17668.782694306574</v>
      </c>
      <c r="O76" s="4">
        <f>F76/M76</f>
        <v>1</v>
      </c>
      <c r="P76" s="4">
        <f>L76/M76</f>
        <v>0</v>
      </c>
    </row>
    <row r="77" spans="1:16" ht="12.75">
      <c r="A77" s="45">
        <v>1278</v>
      </c>
      <c r="B77" s="20"/>
      <c r="C77" s="34">
        <v>5671.606</v>
      </c>
      <c r="D77" s="34">
        <v>205.282</v>
      </c>
      <c r="E77" s="34">
        <f>C77+D77</f>
        <v>5876.888</v>
      </c>
      <c r="F77" s="34">
        <f>3.115305029*E77</f>
        <v>18308.29874126975</v>
      </c>
      <c r="G77" s="20"/>
      <c r="H77" s="36"/>
      <c r="I77" s="34"/>
      <c r="J77" s="34"/>
      <c r="K77" s="34"/>
      <c r="L77" s="34"/>
      <c r="M77" s="34">
        <f>F77+L77</f>
        <v>18308.29874126975</v>
      </c>
      <c r="O77" s="4">
        <f>F77/M77</f>
        <v>1</v>
      </c>
      <c r="P77" s="4">
        <f>L77/M77</f>
        <v>0</v>
      </c>
    </row>
    <row r="78" spans="1:16" ht="12.75">
      <c r="A78" s="45">
        <v>1279</v>
      </c>
      <c r="B78" s="20"/>
      <c r="C78" s="34">
        <v>23333.695</v>
      </c>
      <c r="D78" s="34">
        <v>54.755</v>
      </c>
      <c r="E78" s="34">
        <f>C78+D78</f>
        <v>23388.45</v>
      </c>
      <c r="F78" s="34">
        <v>73150.363</v>
      </c>
      <c r="G78" s="20"/>
      <c r="H78" s="36"/>
      <c r="I78" s="34"/>
      <c r="J78" s="34"/>
      <c r="K78" s="34"/>
      <c r="L78" s="34"/>
      <c r="M78" s="34">
        <f>F78+L78</f>
        <v>73150.363</v>
      </c>
      <c r="O78" s="4">
        <f>F78/M78</f>
        <v>1</v>
      </c>
      <c r="P78" s="4">
        <f>L78/M78</f>
        <v>0</v>
      </c>
    </row>
    <row r="79" spans="1:16" ht="12.75">
      <c r="A79" s="45">
        <v>1280</v>
      </c>
      <c r="B79" s="20"/>
      <c r="C79" s="34">
        <v>59682.252</v>
      </c>
      <c r="D79" s="34">
        <v>10681.137</v>
      </c>
      <c r="E79" s="34">
        <f>C79+D79</f>
        <v>70363.389</v>
      </c>
      <c r="F79" s="34">
        <v>219971.71</v>
      </c>
      <c r="G79" s="20"/>
      <c r="H79" s="36"/>
      <c r="I79" s="34"/>
      <c r="J79" s="34"/>
      <c r="K79" s="34"/>
      <c r="L79" s="34"/>
      <c r="M79" s="34">
        <f>F79+L79</f>
        <v>219971.71</v>
      </c>
      <c r="O79" s="4">
        <f>F79/M79</f>
        <v>1</v>
      </c>
      <c r="P79" s="4">
        <f>L79/M79</f>
        <v>0</v>
      </c>
    </row>
    <row r="80" spans="1:16" ht="12.75">
      <c r="A80" s="45"/>
      <c r="B80" s="20"/>
      <c r="C80" s="36"/>
      <c r="D80" s="36"/>
      <c r="E80" s="36"/>
      <c r="F80" s="36"/>
      <c r="G80" s="20"/>
      <c r="H80" s="36"/>
      <c r="I80" s="36"/>
      <c r="J80" s="36"/>
      <c r="K80" s="36"/>
      <c r="L80" s="36"/>
      <c r="M80" s="36"/>
      <c r="O80" s="8"/>
      <c r="P80" s="8"/>
    </row>
    <row r="81" spans="1:16" ht="12.75">
      <c r="A81" s="45" t="s">
        <v>24</v>
      </c>
      <c r="B81" s="20"/>
      <c r="C81" s="36">
        <f>SUM(C75:C80)/5</f>
        <v>20006.153</v>
      </c>
      <c r="D81" s="36">
        <f>SUM(D75:D80)/5</f>
        <v>2188.2348</v>
      </c>
      <c r="E81" s="36">
        <f>SUM(E75:E80)/5</f>
        <v>22194.3878</v>
      </c>
      <c r="F81" s="36">
        <f>SUM(F75:F80)/5</f>
        <v>69353.58742597657</v>
      </c>
      <c r="G81" s="20"/>
      <c r="H81" s="36"/>
      <c r="I81" s="36"/>
      <c r="J81" s="36"/>
      <c r="K81" s="36"/>
      <c r="L81" s="36"/>
      <c r="M81" s="36">
        <f>SUM(M75:M80)/5</f>
        <v>69353.58742597657</v>
      </c>
      <c r="O81" s="4">
        <f>F81/M81</f>
        <v>1</v>
      </c>
      <c r="P81" s="4">
        <f>L81/M81</f>
        <v>0</v>
      </c>
    </row>
    <row r="82" spans="1:16" ht="12.75">
      <c r="A82" s="45"/>
      <c r="B82" s="20"/>
      <c r="C82" s="36"/>
      <c r="D82" s="36"/>
      <c r="E82" s="36"/>
      <c r="F82" s="36"/>
      <c r="G82" s="20"/>
      <c r="H82" s="36"/>
      <c r="I82" s="36"/>
      <c r="J82" s="36"/>
      <c r="K82" s="36"/>
      <c r="L82" s="36"/>
      <c r="M82" s="36"/>
      <c r="O82" s="8"/>
      <c r="P82" s="8"/>
    </row>
    <row r="83" spans="1:16" ht="12.75">
      <c r="A83" s="45">
        <v>1281</v>
      </c>
      <c r="B83" s="20"/>
      <c r="C83" s="34">
        <v>33797.124</v>
      </c>
      <c r="D83" s="34">
        <v>8040.307</v>
      </c>
      <c r="E83" s="34">
        <f>C83+D83</f>
        <v>41837.431000000004</v>
      </c>
      <c r="F83" s="34">
        <f>3.1281782*E83</f>
        <v>130874.9395982042</v>
      </c>
      <c r="G83" s="20"/>
      <c r="H83" s="36"/>
      <c r="I83" s="34"/>
      <c r="J83" s="34"/>
      <c r="K83" s="34"/>
      <c r="L83" s="34"/>
      <c r="M83" s="34">
        <f>F83+L83</f>
        <v>130874.9395982042</v>
      </c>
      <c r="O83" s="4">
        <f>F83/M83</f>
        <v>1</v>
      </c>
      <c r="P83" s="4">
        <f>L83/M83</f>
        <v>0</v>
      </c>
    </row>
    <row r="84" spans="1:16" ht="12.75">
      <c r="A84" s="45">
        <v>1282</v>
      </c>
      <c r="B84" s="20"/>
      <c r="C84" s="34">
        <v>12268.066</v>
      </c>
      <c r="D84" s="34">
        <v>7035.817</v>
      </c>
      <c r="E84" s="34">
        <f>C84+D84</f>
        <v>19303.883</v>
      </c>
      <c r="F84" s="34">
        <f>3.1281782*E84</f>
        <v>60385.9859759506</v>
      </c>
      <c r="G84" s="20"/>
      <c r="H84" s="36"/>
      <c r="I84" s="34"/>
      <c r="J84" s="34"/>
      <c r="K84" s="34"/>
      <c r="L84" s="34"/>
      <c r="M84" s="34">
        <f>F84+L84</f>
        <v>60385.9859759506</v>
      </c>
      <c r="O84" s="4">
        <f>F84/M84</f>
        <v>1</v>
      </c>
      <c r="P84" s="4">
        <f>L84/M84</f>
        <v>0</v>
      </c>
    </row>
    <row r="85" spans="1:16" ht="12.75">
      <c r="A85" s="45">
        <v>1283</v>
      </c>
      <c r="B85" s="20"/>
      <c r="C85" s="34">
        <v>12268.066</v>
      </c>
      <c r="D85" s="34">
        <v>5261.421</v>
      </c>
      <c r="E85" s="34">
        <f>C85+D85</f>
        <v>17529.487</v>
      </c>
      <c r="F85" s="34">
        <f>3.1281782*E85</f>
        <v>54835.3590905834</v>
      </c>
      <c r="G85" s="20"/>
      <c r="H85" s="36"/>
      <c r="I85" s="34"/>
      <c r="J85" s="34"/>
      <c r="K85" s="34"/>
      <c r="L85" s="34"/>
      <c r="M85" s="34">
        <f>F85+L85</f>
        <v>54835.3590905834</v>
      </c>
      <c r="O85" s="4">
        <f>F85/M85</f>
        <v>1</v>
      </c>
      <c r="P85" s="4">
        <f>L85/M85</f>
        <v>0</v>
      </c>
    </row>
    <row r="86" spans="1:16" ht="12.75">
      <c r="A86" s="45">
        <v>1284</v>
      </c>
      <c r="B86" s="20"/>
      <c r="C86" s="34">
        <v>7950.148</v>
      </c>
      <c r="D86" s="34">
        <v>5098.848</v>
      </c>
      <c r="E86" s="34">
        <f>C86+D86</f>
        <v>13048.996</v>
      </c>
      <c r="F86" s="34">
        <f>3.1281782*E86</f>
        <v>40819.5848190872</v>
      </c>
      <c r="G86" s="20"/>
      <c r="H86" s="36"/>
      <c r="I86" s="34"/>
      <c r="J86" s="34"/>
      <c r="K86" s="34"/>
      <c r="L86" s="34"/>
      <c r="M86" s="34">
        <f>F86+L86</f>
        <v>40819.5848190872</v>
      </c>
      <c r="O86" s="4">
        <f>F86/M86</f>
        <v>1</v>
      </c>
      <c r="P86" s="4">
        <f>L86/M86</f>
        <v>0</v>
      </c>
    </row>
    <row r="87" spans="1:16" ht="12.75">
      <c r="A87" s="45">
        <v>1285</v>
      </c>
      <c r="B87" s="20"/>
      <c r="C87" s="34">
        <v>11780.462</v>
      </c>
      <c r="D87" s="34">
        <v>6066.284</v>
      </c>
      <c r="E87" s="34">
        <f>C87+D87</f>
        <v>17846.746</v>
      </c>
      <c r="F87" s="34">
        <f>3.1281782*E87</f>
        <v>55827.8017781372</v>
      </c>
      <c r="G87" s="20"/>
      <c r="H87" s="36"/>
      <c r="I87" s="34"/>
      <c r="J87" s="34"/>
      <c r="K87" s="34"/>
      <c r="L87" s="34"/>
      <c r="M87" s="34">
        <f>F87+L87</f>
        <v>55827.8017781372</v>
      </c>
      <c r="O87" s="4">
        <f>F87/M87</f>
        <v>1</v>
      </c>
      <c r="P87" s="4">
        <f>L87/M87</f>
        <v>0</v>
      </c>
    </row>
    <row r="88" spans="1:16" ht="12.75">
      <c r="A88" s="45"/>
      <c r="B88" s="20"/>
      <c r="C88" s="36"/>
      <c r="D88" s="36"/>
      <c r="E88" s="36"/>
      <c r="F88" s="36"/>
      <c r="G88" s="20"/>
      <c r="H88" s="36"/>
      <c r="I88" s="36"/>
      <c r="J88" s="36"/>
      <c r="K88" s="36"/>
      <c r="L88" s="36"/>
      <c r="M88" s="36"/>
      <c r="O88" s="8"/>
      <c r="P88" s="8"/>
    </row>
    <row r="89" spans="1:16" ht="12.75">
      <c r="A89" s="45" t="s">
        <v>26</v>
      </c>
      <c r="B89" s="20"/>
      <c r="C89" s="36">
        <f>SUM(C83:C88)/5</f>
        <v>15612.7732</v>
      </c>
      <c r="D89" s="36">
        <f>SUM(D83:D88)/5</f>
        <v>6300.535399999999</v>
      </c>
      <c r="E89" s="36">
        <f>SUM(E83:E88)/5</f>
        <v>21913.3086</v>
      </c>
      <c r="F89" s="36">
        <f>SUM(F83:F88)/5</f>
        <v>68548.73425239252</v>
      </c>
      <c r="G89" s="20"/>
      <c r="H89" s="36"/>
      <c r="I89" s="36"/>
      <c r="J89" s="36"/>
      <c r="K89" s="36"/>
      <c r="L89" s="36"/>
      <c r="M89" s="36">
        <f>SUM(M83:M88)/5</f>
        <v>68548.73425239252</v>
      </c>
      <c r="O89" s="4">
        <f>F89/M89</f>
        <v>1</v>
      </c>
      <c r="P89" s="4">
        <f>L89/M89</f>
        <v>0</v>
      </c>
    </row>
    <row r="90" spans="1:16" ht="12.75">
      <c r="A90" s="45"/>
      <c r="B90" s="20"/>
      <c r="C90" s="36"/>
      <c r="D90" s="36"/>
      <c r="E90" s="36"/>
      <c r="F90" s="36"/>
      <c r="G90" s="20"/>
      <c r="H90" s="36"/>
      <c r="I90" s="36"/>
      <c r="J90" s="36"/>
      <c r="K90" s="36"/>
      <c r="L90" s="36"/>
      <c r="M90" s="36"/>
      <c r="O90" s="8"/>
      <c r="P90" s="8"/>
    </row>
    <row r="91" spans="1:16" ht="12.75">
      <c r="A91" s="45">
        <v>1286</v>
      </c>
      <c r="B91" s="20"/>
      <c r="C91" s="34">
        <v>18825.242</v>
      </c>
      <c r="D91" s="34">
        <v>8144.487</v>
      </c>
      <c r="E91" s="34">
        <f>C91+D91</f>
        <v>26969.729</v>
      </c>
      <c r="F91" s="34">
        <f>3.1281782*E91</f>
        <v>84366.11831770779</v>
      </c>
      <c r="G91" s="20"/>
      <c r="H91" s="36"/>
      <c r="I91" s="34"/>
      <c r="J91" s="34"/>
      <c r="K91" s="34"/>
      <c r="L91" s="34"/>
      <c r="M91" s="34">
        <f>F91+L91</f>
        <v>84366.11831770779</v>
      </c>
      <c r="O91" s="4">
        <f>F91/M91</f>
        <v>1</v>
      </c>
      <c r="P91" s="4">
        <f>L91/M91</f>
        <v>0</v>
      </c>
    </row>
    <row r="92" spans="1:16" ht="12.75">
      <c r="A92" s="45">
        <v>1287</v>
      </c>
      <c r="B92" s="20"/>
      <c r="C92" s="34">
        <v>18485.365</v>
      </c>
      <c r="D92" s="34">
        <v>12210.608</v>
      </c>
      <c r="E92" s="34">
        <f>C92+D92</f>
        <v>30695.973</v>
      </c>
      <c r="F92" s="34">
        <f>3.1281782*E92</f>
        <v>96022.4735663886</v>
      </c>
      <c r="G92" s="20"/>
      <c r="H92" s="36"/>
      <c r="I92" s="34"/>
      <c r="J92" s="34"/>
      <c r="K92" s="34"/>
      <c r="L92" s="34"/>
      <c r="M92" s="34">
        <f>F92+L92</f>
        <v>96022.4735663886</v>
      </c>
      <c r="O92" s="4">
        <f>F92/M92</f>
        <v>1</v>
      </c>
      <c r="P92" s="4">
        <f>L92/M92</f>
        <v>0</v>
      </c>
    </row>
    <row r="93" spans="1:16" ht="12.75">
      <c r="A93" s="45">
        <v>1288</v>
      </c>
      <c r="B93" s="20"/>
      <c r="C93" s="34">
        <v>12858.843</v>
      </c>
      <c r="D93" s="34">
        <v>5704.789</v>
      </c>
      <c r="E93" s="34">
        <f>C93+D93</f>
        <v>18563.632</v>
      </c>
      <c r="F93" s="34">
        <f>3.1281782*E93</f>
        <v>58070.3489352224</v>
      </c>
      <c r="G93" s="20"/>
      <c r="H93" s="36"/>
      <c r="I93" s="34"/>
      <c r="J93" s="34"/>
      <c r="K93" s="34"/>
      <c r="L93" s="34"/>
      <c r="M93" s="34">
        <f>F93+L93</f>
        <v>58070.3489352224</v>
      </c>
      <c r="O93" s="4">
        <f>F93/M93</f>
        <v>1</v>
      </c>
      <c r="P93" s="4">
        <f>L93/M93</f>
        <v>0</v>
      </c>
    </row>
    <row r="94" spans="1:16" ht="12.75">
      <c r="A94" s="45">
        <v>1289</v>
      </c>
      <c r="B94" s="20"/>
      <c r="C94" s="34">
        <v>4322.841</v>
      </c>
      <c r="D94" s="34">
        <v>1344.331</v>
      </c>
      <c r="E94" s="34">
        <f>C94+D94</f>
        <v>5667.1720000000005</v>
      </c>
      <c r="F94" s="34">
        <f>3.1281782*E94</f>
        <v>17727.9239060504</v>
      </c>
      <c r="G94" s="20"/>
      <c r="H94" s="36"/>
      <c r="I94" s="34"/>
      <c r="J94" s="34"/>
      <c r="K94" s="34"/>
      <c r="L94" s="34"/>
      <c r="M94" s="34">
        <f>F94+L94</f>
        <v>17727.9239060504</v>
      </c>
      <c r="O94" s="4">
        <f>F94/M94</f>
        <v>1</v>
      </c>
      <c r="P94" s="4">
        <f>L94/M94</f>
        <v>0</v>
      </c>
    </row>
    <row r="95" spans="1:16" ht="12.75">
      <c r="A95" s="45">
        <v>1290</v>
      </c>
      <c r="B95" s="20"/>
      <c r="C95" s="34">
        <v>3635.147</v>
      </c>
      <c r="D95" s="34">
        <v>871.328</v>
      </c>
      <c r="E95" s="34">
        <f>C95+D95</f>
        <v>4506.475</v>
      </c>
      <c r="F95" s="34">
        <f>3.1281782*E95</f>
        <v>14097.056853845</v>
      </c>
      <c r="G95" s="20"/>
      <c r="H95" s="36"/>
      <c r="I95" s="34"/>
      <c r="J95" s="34"/>
      <c r="K95" s="34"/>
      <c r="L95" s="34"/>
      <c r="M95" s="34">
        <f>F95+L95</f>
        <v>14097.056853845</v>
      </c>
      <c r="O95" s="4">
        <f>F95/M95</f>
        <v>1</v>
      </c>
      <c r="P95" s="4">
        <f>L95/M95</f>
        <v>0</v>
      </c>
    </row>
    <row r="96" spans="1:16" ht="12.75">
      <c r="A96" s="45"/>
      <c r="B96" s="20"/>
      <c r="C96" s="36"/>
      <c r="D96" s="36"/>
      <c r="E96" s="36"/>
      <c r="F96" s="36"/>
      <c r="G96" s="20"/>
      <c r="H96" s="36"/>
      <c r="I96" s="36"/>
      <c r="J96" s="36"/>
      <c r="K96" s="36"/>
      <c r="L96" s="36"/>
      <c r="M96" s="36"/>
      <c r="O96" s="8"/>
      <c r="P96" s="8"/>
    </row>
    <row r="97" spans="1:16" ht="12.75">
      <c r="A97" s="45" t="s">
        <v>27</v>
      </c>
      <c r="B97" s="20"/>
      <c r="C97" s="36">
        <f>SUM(C91:C96)/5</f>
        <v>11625.4876</v>
      </c>
      <c r="D97" s="36">
        <f>SUM(D91:D96)/5</f>
        <v>5655.1086000000005</v>
      </c>
      <c r="E97" s="36">
        <f>SUM(E91:E96)/5</f>
        <v>17280.596200000004</v>
      </c>
      <c r="F97" s="36">
        <f>SUM(F91:F96)/5</f>
        <v>54056.78431584283</v>
      </c>
      <c r="G97" s="20"/>
      <c r="H97" s="36"/>
      <c r="I97" s="36"/>
      <c r="J97" s="36"/>
      <c r="K97" s="36"/>
      <c r="L97" s="36"/>
      <c r="M97" s="36">
        <f>SUM(M91:M96)/5</f>
        <v>54056.78431584283</v>
      </c>
      <c r="O97" s="4">
        <f>F97/M97</f>
        <v>1</v>
      </c>
      <c r="P97" s="4">
        <f>L97/M97</f>
        <v>0</v>
      </c>
    </row>
    <row r="98" spans="1:16" ht="12.75">
      <c r="A98" s="45"/>
      <c r="B98" s="20"/>
      <c r="C98" s="36"/>
      <c r="D98" s="36"/>
      <c r="E98" s="36"/>
      <c r="F98" s="36"/>
      <c r="G98" s="20"/>
      <c r="H98" s="36"/>
      <c r="I98" s="36"/>
      <c r="J98" s="36"/>
      <c r="K98" s="36"/>
      <c r="L98" s="36"/>
      <c r="M98" s="36"/>
      <c r="O98" s="8"/>
      <c r="P98" s="8"/>
    </row>
    <row r="99" spans="1:16" ht="12.75">
      <c r="A99" s="45">
        <v>1291</v>
      </c>
      <c r="B99" s="20"/>
      <c r="C99" s="34">
        <v>721.786</v>
      </c>
      <c r="D99" s="34">
        <v>276.149</v>
      </c>
      <c r="E99" s="34">
        <f>C99+D99</f>
        <v>997.935</v>
      </c>
      <c r="F99" s="34">
        <f>3.1281782*E99</f>
        <v>3121.7185120169997</v>
      </c>
      <c r="G99" s="20"/>
      <c r="H99" s="36"/>
      <c r="I99" s="34"/>
      <c r="J99" s="34"/>
      <c r="K99" s="34"/>
      <c r="L99" s="34"/>
      <c r="M99" s="34">
        <f>F99+L99</f>
        <v>3121.7185120169997</v>
      </c>
      <c r="O99" s="4">
        <f>F99/M99</f>
        <v>1</v>
      </c>
      <c r="P99" s="4">
        <f>L99/M99</f>
        <v>0</v>
      </c>
    </row>
    <row r="100" spans="1:16" ht="12.75">
      <c r="A100" s="45">
        <v>1292</v>
      </c>
      <c r="B100" s="20"/>
      <c r="C100" s="34">
        <v>1281.736</v>
      </c>
      <c r="D100" s="34">
        <v>206.256</v>
      </c>
      <c r="E100" s="34">
        <f>C100+D100</f>
        <v>1487.9920000000002</v>
      </c>
      <c r="F100" s="34">
        <f>3.1281782*E100</f>
        <v>4654.7041361744</v>
      </c>
      <c r="G100" s="20"/>
      <c r="H100" s="36"/>
      <c r="I100" s="34"/>
      <c r="J100" s="34"/>
      <c r="K100" s="34"/>
      <c r="L100" s="34"/>
      <c r="M100" s="34">
        <f>F100+L100</f>
        <v>4654.7041361744</v>
      </c>
      <c r="O100" s="4">
        <f>F100/M100</f>
        <v>1</v>
      </c>
      <c r="P100" s="4">
        <f>L100/M100</f>
        <v>0</v>
      </c>
    </row>
    <row r="101" spans="1:16" ht="12.75">
      <c r="A101" s="45">
        <v>1293</v>
      </c>
      <c r="B101" s="20"/>
      <c r="C101" s="34">
        <v>822.124</v>
      </c>
      <c r="D101" s="34">
        <v>239.516</v>
      </c>
      <c r="E101" s="34">
        <f>C101+D101</f>
        <v>1061.64</v>
      </c>
      <c r="F101" s="34">
        <f>3.1281782*E101</f>
        <v>3320.999104248</v>
      </c>
      <c r="G101" s="20"/>
      <c r="H101" s="36"/>
      <c r="I101" s="34"/>
      <c r="J101" s="34"/>
      <c r="K101" s="34"/>
      <c r="L101" s="34"/>
      <c r="M101" s="34">
        <f>F101+L101</f>
        <v>3320.999104248</v>
      </c>
      <c r="O101" s="4">
        <f>F101/M101</f>
        <v>1</v>
      </c>
      <c r="P101" s="4">
        <f>L101/M101</f>
        <v>0</v>
      </c>
    </row>
    <row r="102" spans="1:16" ht="12.75">
      <c r="A102" s="45">
        <v>1294</v>
      </c>
      <c r="B102" s="20"/>
      <c r="C102" s="34">
        <v>2039.126</v>
      </c>
      <c r="D102" s="34">
        <v>29.13</v>
      </c>
      <c r="E102" s="34">
        <f>C102+D102</f>
        <v>2068.256</v>
      </c>
      <c r="F102" s="34">
        <f>3.1281782*E102</f>
        <v>6469.873331219199</v>
      </c>
      <c r="G102" s="20"/>
      <c r="H102" s="36"/>
      <c r="I102" s="34"/>
      <c r="J102" s="34"/>
      <c r="K102" s="34"/>
      <c r="L102" s="34"/>
      <c r="M102" s="34">
        <f>F102+L102</f>
        <v>6469.873331219199</v>
      </c>
      <c r="O102" s="4">
        <f>F102/M102</f>
        <v>1</v>
      </c>
      <c r="P102" s="4">
        <f>L102/M102</f>
        <v>0</v>
      </c>
    </row>
    <row r="103" spans="1:16" ht="12.75">
      <c r="A103" s="45">
        <v>1295</v>
      </c>
      <c r="B103" s="20"/>
      <c r="C103" s="34">
        <v>2145.938</v>
      </c>
      <c r="D103" s="34"/>
      <c r="E103" s="34">
        <f>C103+D103</f>
        <v>2145.938</v>
      </c>
      <c r="F103" s="34">
        <f>3.1281782*E103</f>
        <v>6712.8764701516</v>
      </c>
      <c r="G103" s="20"/>
      <c r="H103" s="36"/>
      <c r="I103" s="34"/>
      <c r="J103" s="34"/>
      <c r="K103" s="34"/>
      <c r="L103" s="34"/>
      <c r="M103" s="34">
        <f>F103+L103</f>
        <v>6712.8764701516</v>
      </c>
      <c r="O103" s="4">
        <f>F103/M103</f>
        <v>1</v>
      </c>
      <c r="P103" s="4">
        <f>L103/M103</f>
        <v>0</v>
      </c>
    </row>
    <row r="104" spans="1:16" ht="12.75">
      <c r="A104" s="45"/>
      <c r="B104" s="20"/>
      <c r="C104" s="36"/>
      <c r="D104" s="36"/>
      <c r="E104" s="36"/>
      <c r="F104" s="36"/>
      <c r="G104" s="20"/>
      <c r="H104" s="36"/>
      <c r="I104" s="36"/>
      <c r="J104" s="36"/>
      <c r="K104" s="36"/>
      <c r="L104" s="36"/>
      <c r="M104" s="36"/>
      <c r="O104" s="8"/>
      <c r="P104" s="8"/>
    </row>
    <row r="105" spans="1:16" ht="12.75">
      <c r="A105" s="45" t="s">
        <v>28</v>
      </c>
      <c r="B105" s="20"/>
      <c r="C105" s="36">
        <f>SUM(C99:C104)/5</f>
        <v>1402.142</v>
      </c>
      <c r="D105" s="36">
        <f>SUM(D99:D104)/5</f>
        <v>150.2102</v>
      </c>
      <c r="E105" s="36">
        <f>SUM(E99:E104)/5</f>
        <v>1552.3522</v>
      </c>
      <c r="F105" s="36">
        <f>SUM(F99:F104)/5</f>
        <v>4856.03431076204</v>
      </c>
      <c r="G105" s="20"/>
      <c r="H105" s="36"/>
      <c r="I105" s="36"/>
      <c r="J105" s="36"/>
      <c r="K105" s="36"/>
      <c r="L105" s="36"/>
      <c r="M105" s="36">
        <f>SUM(M99:M104)/5</f>
        <v>4856.03431076204</v>
      </c>
      <c r="O105" s="4">
        <f>F105/M105</f>
        <v>1</v>
      </c>
      <c r="P105" s="4">
        <f>L105/M105</f>
        <v>0</v>
      </c>
    </row>
    <row r="106" spans="1:16" ht="12.75">
      <c r="A106" s="45"/>
      <c r="B106" s="20"/>
      <c r="C106" s="36"/>
      <c r="D106" s="36"/>
      <c r="E106" s="36"/>
      <c r="F106" s="36"/>
      <c r="G106" s="20"/>
      <c r="H106" s="36"/>
      <c r="I106" s="36"/>
      <c r="J106" s="36"/>
      <c r="K106" s="36"/>
      <c r="L106" s="36"/>
      <c r="M106" s="36"/>
      <c r="O106" s="8"/>
      <c r="P106" s="8"/>
    </row>
    <row r="107" spans="1:16" ht="12.75">
      <c r="A107" s="45">
        <v>1296</v>
      </c>
      <c r="B107" s="20"/>
      <c r="C107" s="34">
        <v>1492.122</v>
      </c>
      <c r="D107" s="34"/>
      <c r="E107" s="34">
        <f>C107+D107</f>
        <v>1492.122</v>
      </c>
      <c r="F107" s="34">
        <f>3.1281782*E107</f>
        <v>4667.6235121404</v>
      </c>
      <c r="G107" s="20"/>
      <c r="H107" s="36"/>
      <c r="I107" s="34"/>
      <c r="J107" s="34"/>
      <c r="K107" s="34"/>
      <c r="L107" s="34"/>
      <c r="M107" s="34">
        <f>F107+L107</f>
        <v>4667.6235121404</v>
      </c>
      <c r="O107" s="4">
        <f>F107/M107</f>
        <v>1</v>
      </c>
      <c r="P107" s="4">
        <f>L107/M107</f>
        <v>0</v>
      </c>
    </row>
    <row r="108" spans="1:16" ht="12.75">
      <c r="A108" s="45">
        <v>1297</v>
      </c>
      <c r="B108" s="20"/>
      <c r="C108" s="34">
        <v>2168.594</v>
      </c>
      <c r="D108" s="34"/>
      <c r="E108" s="34">
        <f>C108+D108</f>
        <v>2168.594</v>
      </c>
      <c r="F108" s="34">
        <f>3.1281782*E108</f>
        <v>6783.7484754508</v>
      </c>
      <c r="G108" s="20"/>
      <c r="H108" s="36"/>
      <c r="I108" s="34"/>
      <c r="J108" s="34"/>
      <c r="K108" s="34"/>
      <c r="L108" s="34"/>
      <c r="M108" s="34">
        <f>F108+L108</f>
        <v>6783.7484754508</v>
      </c>
      <c r="O108" s="4">
        <f>F108/M108</f>
        <v>1</v>
      </c>
      <c r="P108" s="4">
        <f>L108/M108</f>
        <v>0</v>
      </c>
    </row>
    <row r="109" spans="1:16" ht="12.75">
      <c r="A109" s="45">
        <v>1298</v>
      </c>
      <c r="B109" s="20"/>
      <c r="C109" s="34">
        <v>624.555</v>
      </c>
      <c r="D109" s="34"/>
      <c r="E109" s="34">
        <f>C109+D109</f>
        <v>624.555</v>
      </c>
      <c r="F109" s="34">
        <f>3.1281782*E109</f>
        <v>1953.7193357009996</v>
      </c>
      <c r="G109" s="20"/>
      <c r="H109" s="36"/>
      <c r="I109" s="34"/>
      <c r="J109" s="34"/>
      <c r="K109" s="34"/>
      <c r="L109" s="34"/>
      <c r="M109" s="34">
        <f>F109+L109</f>
        <v>1953.7193357009996</v>
      </c>
      <c r="O109" s="4">
        <f>F109/M109</f>
        <v>1</v>
      </c>
      <c r="P109" s="4">
        <f>L109/M109</f>
        <v>0</v>
      </c>
    </row>
    <row r="110" spans="1:16" ht="12.75">
      <c r="A110" s="45">
        <v>1299</v>
      </c>
      <c r="B110" s="20"/>
      <c r="C110" s="34">
        <v>4327.608</v>
      </c>
      <c r="D110" s="34"/>
      <c r="E110" s="34">
        <f>C110+D110</f>
        <v>4327.608</v>
      </c>
      <c r="F110" s="34">
        <f>3.1281782*E110</f>
        <v>13537.5290037456</v>
      </c>
      <c r="G110" s="20"/>
      <c r="H110" s="36"/>
      <c r="I110" s="34"/>
      <c r="J110" s="34"/>
      <c r="K110" s="34"/>
      <c r="L110" s="34"/>
      <c r="M110" s="34">
        <f>F110+L110</f>
        <v>13537.5290037456</v>
      </c>
      <c r="O110" s="4">
        <f>F110/M110</f>
        <v>1</v>
      </c>
      <c r="P110" s="4">
        <f>L110/M110</f>
        <v>0</v>
      </c>
    </row>
    <row r="111" spans="1:16" ht="12.75">
      <c r="A111" s="45">
        <v>1300</v>
      </c>
      <c r="B111" s="20"/>
      <c r="C111" s="34">
        <v>34639.251</v>
      </c>
      <c r="D111" s="34">
        <v>17104.957</v>
      </c>
      <c r="E111" s="34">
        <f>C111+D111</f>
        <v>51744.208</v>
      </c>
      <c r="F111" s="34">
        <f>3.1281782*E111</f>
        <v>161865.1034418656</v>
      </c>
      <c r="G111" s="20"/>
      <c r="H111" s="36"/>
      <c r="I111" s="34"/>
      <c r="J111" s="34"/>
      <c r="K111" s="34"/>
      <c r="L111" s="34"/>
      <c r="M111" s="34">
        <f>F111+L111</f>
        <v>161865.1034418656</v>
      </c>
      <c r="O111" s="4">
        <f>F111/M111</f>
        <v>1</v>
      </c>
      <c r="P111" s="4">
        <f>L111/M111</f>
        <v>0</v>
      </c>
    </row>
    <row r="112" spans="1:16" ht="12.75">
      <c r="A112" s="45"/>
      <c r="B112" s="20"/>
      <c r="C112" s="36"/>
      <c r="D112" s="36"/>
      <c r="E112" s="36"/>
      <c r="F112" s="36"/>
      <c r="G112" s="20"/>
      <c r="H112" s="36"/>
      <c r="I112" s="36"/>
      <c r="J112" s="36"/>
      <c r="K112" s="36"/>
      <c r="L112" s="36"/>
      <c r="M112" s="36"/>
      <c r="O112" s="8"/>
      <c r="P112" s="8"/>
    </row>
    <row r="113" spans="1:16" ht="12.75">
      <c r="A113" s="45" t="s">
        <v>29</v>
      </c>
      <c r="B113" s="20"/>
      <c r="C113" s="36">
        <f>SUM(C107:C112)/5</f>
        <v>8650.426</v>
      </c>
      <c r="D113" s="36">
        <f>SUM(D107:D112)/5</f>
        <v>3420.9914</v>
      </c>
      <c r="E113" s="36">
        <f>SUM(E107:E112)/5</f>
        <v>12071.4174</v>
      </c>
      <c r="F113" s="36">
        <f>SUM(F107:F112)/5</f>
        <v>37761.544753780676</v>
      </c>
      <c r="G113" s="20"/>
      <c r="H113" s="36"/>
      <c r="I113" s="36"/>
      <c r="J113" s="36"/>
      <c r="K113" s="36"/>
      <c r="L113" s="36"/>
      <c r="M113" s="36">
        <f>SUM(M107:M112)/5</f>
        <v>37761.544753780676</v>
      </c>
      <c r="O113" s="4">
        <f>F113/M113</f>
        <v>1</v>
      </c>
      <c r="P113" s="4">
        <f>L113/M113</f>
        <v>0</v>
      </c>
    </row>
    <row r="114" spans="1:16" ht="12.75">
      <c r="A114" s="45"/>
      <c r="B114" s="20"/>
      <c r="C114" s="36"/>
      <c r="D114" s="36"/>
      <c r="E114" s="36"/>
      <c r="F114" s="36"/>
      <c r="G114" s="20"/>
      <c r="H114" s="36"/>
      <c r="I114" s="36"/>
      <c r="J114" s="36"/>
      <c r="K114" s="36"/>
      <c r="L114" s="36"/>
      <c r="M114" s="36"/>
      <c r="O114" s="8"/>
      <c r="P114" s="8"/>
    </row>
    <row r="115" spans="1:16" ht="12.75">
      <c r="A115" s="45">
        <v>1301</v>
      </c>
      <c r="B115" s="20"/>
      <c r="C115" s="34">
        <v>13474.092</v>
      </c>
      <c r="D115" s="34">
        <v>14876.957</v>
      </c>
      <c r="E115" s="34">
        <f>C115+D115</f>
        <v>28351.049</v>
      </c>
      <c r="F115" s="34">
        <f>3.1281782*E115</f>
        <v>88687.13342893179</v>
      </c>
      <c r="G115" s="20"/>
      <c r="H115" s="36"/>
      <c r="I115" s="34"/>
      <c r="J115" s="34"/>
      <c r="K115" s="34"/>
      <c r="L115" s="34"/>
      <c r="M115" s="34">
        <f>F115+L115</f>
        <v>88687.13342893179</v>
      </c>
      <c r="O115" s="4">
        <f>F115/M115</f>
        <v>1</v>
      </c>
      <c r="P115" s="4">
        <f>L115/M115</f>
        <v>0</v>
      </c>
    </row>
    <row r="116" spans="1:16" ht="12.75">
      <c r="A116" s="45">
        <v>1302</v>
      </c>
      <c r="B116" s="20"/>
      <c r="C116" s="34">
        <v>2275.406</v>
      </c>
      <c r="D116" s="34">
        <v>1954.971</v>
      </c>
      <c r="E116" s="34">
        <f>C116+D116</f>
        <v>4230.377</v>
      </c>
      <c r="F116" s="34">
        <f>3.1281782*E116</f>
        <v>13233.3731091814</v>
      </c>
      <c r="G116" s="20"/>
      <c r="H116" s="36"/>
      <c r="I116" s="34"/>
      <c r="J116" s="34"/>
      <c r="K116" s="34"/>
      <c r="L116" s="34"/>
      <c r="M116" s="34">
        <f>F116+L116</f>
        <v>13233.3731091814</v>
      </c>
      <c r="O116" s="4">
        <f>F116/M116</f>
        <v>1</v>
      </c>
      <c r="P116" s="4">
        <f>L116/M116</f>
        <v>0</v>
      </c>
    </row>
    <row r="117" spans="1:16" ht="12.75">
      <c r="A117" s="45">
        <v>1303</v>
      </c>
      <c r="B117" s="20"/>
      <c r="C117" s="34">
        <v>1857.871</v>
      </c>
      <c r="D117" s="34">
        <v>1223.476</v>
      </c>
      <c r="E117" s="34">
        <f>C117+D117</f>
        <v>3081.347</v>
      </c>
      <c r="F117" s="34">
        <f>3.1281782*E117</f>
        <v>9639.0025120354</v>
      </c>
      <c r="G117" s="20"/>
      <c r="H117" s="36"/>
      <c r="I117" s="34"/>
      <c r="J117" s="34"/>
      <c r="K117" s="34"/>
      <c r="L117" s="34"/>
      <c r="M117" s="34">
        <f>F117+L117</f>
        <v>9639.0025120354</v>
      </c>
      <c r="O117" s="4">
        <f>F117/M117</f>
        <v>1</v>
      </c>
      <c r="P117" s="4">
        <f>L117/M117</f>
        <v>0</v>
      </c>
    </row>
    <row r="118" spans="1:16" ht="12.75">
      <c r="A118" s="45">
        <v>1304</v>
      </c>
      <c r="B118" s="20"/>
      <c r="C118" s="34">
        <v>5188.443</v>
      </c>
      <c r="D118" s="34">
        <v>4955.4</v>
      </c>
      <c r="E118" s="34">
        <f>C118+D118</f>
        <v>10143.843</v>
      </c>
      <c r="F118" s="34">
        <f>3.1281782*E118</f>
        <v>31731.7485368226</v>
      </c>
      <c r="G118" s="20"/>
      <c r="H118" s="36"/>
      <c r="I118" s="34"/>
      <c r="J118" s="34"/>
      <c r="K118" s="34"/>
      <c r="L118" s="34"/>
      <c r="M118" s="34">
        <f>F118+L118</f>
        <v>31731.7485368226</v>
      </c>
      <c r="O118" s="4">
        <f>F118/M118</f>
        <v>1</v>
      </c>
      <c r="P118" s="4">
        <f>L118/M118</f>
        <v>0</v>
      </c>
    </row>
    <row r="119" spans="1:16" ht="12.75">
      <c r="A119" s="45">
        <v>1305</v>
      </c>
      <c r="B119" s="20"/>
      <c r="C119" s="34">
        <v>22767.497</v>
      </c>
      <c r="D119" s="34">
        <v>11513.21</v>
      </c>
      <c r="E119" s="34">
        <f>C119+D119</f>
        <v>34280.706999999995</v>
      </c>
      <c r="F119" s="34">
        <f>3.1281782*E119</f>
        <v>107236.16031798738</v>
      </c>
      <c r="G119" s="20"/>
      <c r="H119" s="36"/>
      <c r="I119" s="34"/>
      <c r="J119" s="34"/>
      <c r="K119" s="34"/>
      <c r="L119" s="34"/>
      <c r="M119" s="34">
        <f>F119+L119</f>
        <v>107236.16031798738</v>
      </c>
      <c r="O119" s="4">
        <f>F119/M119</f>
        <v>1</v>
      </c>
      <c r="P119" s="4">
        <f>L119/M119</f>
        <v>0</v>
      </c>
    </row>
    <row r="120" spans="1:16" ht="12.75">
      <c r="A120" s="45"/>
      <c r="B120" s="20"/>
      <c r="C120" s="36"/>
      <c r="D120" s="36"/>
      <c r="E120" s="36"/>
      <c r="F120" s="36"/>
      <c r="G120" s="20"/>
      <c r="H120" s="36"/>
      <c r="I120" s="36"/>
      <c r="J120" s="36"/>
      <c r="K120" s="36"/>
      <c r="L120" s="36"/>
      <c r="M120" s="36"/>
      <c r="O120" s="8"/>
      <c r="P120" s="8"/>
    </row>
    <row r="121" spans="1:16" ht="12.75">
      <c r="A121" s="45" t="s">
        <v>30</v>
      </c>
      <c r="B121" s="20"/>
      <c r="C121" s="36">
        <f>SUM(C115:C120)/5</f>
        <v>9112.661799999998</v>
      </c>
      <c r="D121" s="36">
        <f>SUM(D115:D120)/5</f>
        <v>6904.8027999999995</v>
      </c>
      <c r="E121" s="36">
        <f>SUM(E115:E120)/5</f>
        <v>16017.464600000001</v>
      </c>
      <c r="F121" s="36">
        <f>SUM(F115:F120)/5</f>
        <v>50105.48358099171</v>
      </c>
      <c r="G121" s="20"/>
      <c r="H121" s="36"/>
      <c r="I121" s="36"/>
      <c r="J121" s="36"/>
      <c r="K121" s="36"/>
      <c r="L121" s="36"/>
      <c r="M121" s="36">
        <f>SUM(M115:M120)/5</f>
        <v>50105.48358099171</v>
      </c>
      <c r="O121" s="4">
        <f>F121/M121</f>
        <v>1</v>
      </c>
      <c r="P121" s="4">
        <f>L121/M121</f>
        <v>0</v>
      </c>
    </row>
    <row r="122" spans="1:16" ht="12.75">
      <c r="A122" s="45"/>
      <c r="B122" s="20"/>
      <c r="C122" s="36"/>
      <c r="D122" s="36"/>
      <c r="E122" s="36"/>
      <c r="F122" s="36"/>
      <c r="G122" s="20"/>
      <c r="H122" s="36"/>
      <c r="I122" s="36"/>
      <c r="J122" s="36"/>
      <c r="K122" s="36"/>
      <c r="L122" s="36"/>
      <c r="M122" s="36"/>
      <c r="O122" s="8"/>
      <c r="P122" s="8"/>
    </row>
    <row r="123" spans="1:16" ht="12.75">
      <c r="A123" s="45">
        <v>1306</v>
      </c>
      <c r="B123" s="20"/>
      <c r="C123" s="34">
        <v>20767.127</v>
      </c>
      <c r="D123" s="34">
        <v>10495.79</v>
      </c>
      <c r="E123" s="34">
        <f>C123+D123</f>
        <v>31262.917</v>
      </c>
      <c r="F123" s="34">
        <f>3.1281782*E123</f>
        <v>97795.9754278094</v>
      </c>
      <c r="G123" s="20"/>
      <c r="H123" s="36"/>
      <c r="I123" s="34"/>
      <c r="J123" s="34"/>
      <c r="K123" s="34"/>
      <c r="L123" s="34"/>
      <c r="M123" s="34">
        <f>F123+L123</f>
        <v>97795.9754278094</v>
      </c>
      <c r="O123" s="4">
        <f>F123/M123</f>
        <v>1</v>
      </c>
      <c r="P123" s="4">
        <f>L123/M123</f>
        <v>0</v>
      </c>
    </row>
    <row r="124" spans="1:16" ht="12.75">
      <c r="A124" s="45">
        <v>1307</v>
      </c>
      <c r="B124" s="20"/>
      <c r="C124" s="34">
        <v>29735.923</v>
      </c>
      <c r="D124" s="34">
        <v>18028.193</v>
      </c>
      <c r="E124" s="34">
        <f>C124+D124</f>
        <v>47764.115999999995</v>
      </c>
      <c r="F124" s="34">
        <f>3.1281782*E124</f>
        <v>149414.66641347116</v>
      </c>
      <c r="G124" s="20"/>
      <c r="H124" s="36"/>
      <c r="I124" s="34"/>
      <c r="J124" s="34"/>
      <c r="K124" s="34"/>
      <c r="L124" s="34"/>
      <c r="M124" s="34">
        <f>F124+L124</f>
        <v>149414.66641347116</v>
      </c>
      <c r="O124" s="4">
        <f>F124/M124</f>
        <v>1</v>
      </c>
      <c r="P124" s="4">
        <f>L124/M124</f>
        <v>0</v>
      </c>
    </row>
    <row r="125" spans="1:16" ht="12.75">
      <c r="A125" s="45">
        <v>1308</v>
      </c>
      <c r="B125" s="20"/>
      <c r="C125" s="34">
        <v>21968.185</v>
      </c>
      <c r="D125" s="34">
        <v>14370.214</v>
      </c>
      <c r="E125" s="34">
        <f>C125+D125</f>
        <v>36338.399000000005</v>
      </c>
      <c r="F125" s="34">
        <f>3.1281782*E125</f>
        <v>113672.98757470181</v>
      </c>
      <c r="G125" s="20"/>
      <c r="H125" s="36"/>
      <c r="I125" s="34"/>
      <c r="J125" s="34"/>
      <c r="K125" s="34"/>
      <c r="L125" s="34"/>
      <c r="M125" s="34">
        <f>F125+L125</f>
        <v>113672.98757470181</v>
      </c>
      <c r="O125" s="4">
        <f>F125/M125</f>
        <v>1</v>
      </c>
      <c r="P125" s="4">
        <f>L125/M125</f>
        <v>0</v>
      </c>
    </row>
    <row r="126" spans="1:16" ht="12.75">
      <c r="A126" s="45">
        <v>1309</v>
      </c>
      <c r="B126" s="20"/>
      <c r="C126" s="34">
        <v>31580.348</v>
      </c>
      <c r="D126" s="34">
        <v>13960.433</v>
      </c>
      <c r="E126" s="34">
        <f>C126+D126</f>
        <v>45540.781</v>
      </c>
      <c r="F126" s="34">
        <f>3.1281782*E126</f>
        <v>142459.6783351742</v>
      </c>
      <c r="G126" s="20"/>
      <c r="H126" s="36"/>
      <c r="I126" s="34"/>
      <c r="J126" s="34"/>
      <c r="K126" s="34"/>
      <c r="L126" s="34"/>
      <c r="M126" s="34">
        <f>F126+L126</f>
        <v>142459.6783351742</v>
      </c>
      <c r="O126" s="4">
        <f>F126/M126</f>
        <v>1</v>
      </c>
      <c r="P126" s="4">
        <f>L126/M126</f>
        <v>0</v>
      </c>
    </row>
    <row r="127" spans="1:16" ht="12.75">
      <c r="A127" s="45">
        <v>1310</v>
      </c>
      <c r="B127" s="20"/>
      <c r="C127" s="34"/>
      <c r="D127" s="34"/>
      <c r="E127" s="34">
        <f>C127+D127</f>
        <v>0</v>
      </c>
      <c r="F127" s="34">
        <f>3.1281782*E127</f>
        <v>0</v>
      </c>
      <c r="G127" s="20"/>
      <c r="H127" s="36"/>
      <c r="I127" s="34"/>
      <c r="J127" s="34"/>
      <c r="K127" s="34"/>
      <c r="L127" s="34"/>
      <c r="M127" s="34">
        <f>F127+L127</f>
        <v>0</v>
      </c>
      <c r="O127" s="4">
        <v>0</v>
      </c>
      <c r="P127" s="4">
        <v>0</v>
      </c>
    </row>
    <row r="128" spans="1:16" ht="12.75">
      <c r="A128" s="45"/>
      <c r="B128" s="20"/>
      <c r="C128" s="36"/>
      <c r="D128" s="36"/>
      <c r="E128" s="36"/>
      <c r="F128" s="36"/>
      <c r="G128" s="20"/>
      <c r="H128" s="36"/>
      <c r="I128" s="36"/>
      <c r="J128" s="36"/>
      <c r="K128" s="36"/>
      <c r="L128" s="36"/>
      <c r="M128" s="36"/>
      <c r="O128" s="8"/>
      <c r="P128" s="8"/>
    </row>
    <row r="129" spans="1:16" ht="12.75">
      <c r="A129" s="45" t="s">
        <v>31</v>
      </c>
      <c r="B129" s="20"/>
      <c r="C129" s="36">
        <f>SUM(C123:C128)/4</f>
        <v>26012.89575</v>
      </c>
      <c r="D129" s="36">
        <f>SUM(D123:D128)/4</f>
        <v>14213.657500000001</v>
      </c>
      <c r="E129" s="36">
        <f>SUM(E123:E128)/4</f>
        <v>40226.55325</v>
      </c>
      <c r="F129" s="36">
        <f>SUM(F123:F128)/4</f>
        <v>125835.82693778916</v>
      </c>
      <c r="G129" s="20"/>
      <c r="H129" s="36"/>
      <c r="I129" s="36"/>
      <c r="J129" s="36"/>
      <c r="K129" s="36"/>
      <c r="L129" s="36"/>
      <c r="M129" s="36">
        <f>SUM(M123:M128)/4</f>
        <v>125835.82693778916</v>
      </c>
      <c r="O129" s="4">
        <f>F129/M129</f>
        <v>1</v>
      </c>
      <c r="P129" s="4">
        <f>L129/M129</f>
        <v>0</v>
      </c>
    </row>
    <row r="130" spans="1:16" ht="12.75">
      <c r="A130" s="45"/>
      <c r="B130" s="20"/>
      <c r="C130" s="36"/>
      <c r="D130" s="36"/>
      <c r="E130" s="36"/>
      <c r="F130" s="36"/>
      <c r="G130" s="20"/>
      <c r="H130" s="36"/>
      <c r="I130" s="36"/>
      <c r="J130" s="36"/>
      <c r="K130" s="36"/>
      <c r="L130" s="36"/>
      <c r="M130" s="36"/>
      <c r="O130" s="8"/>
      <c r="P130" s="8"/>
    </row>
    <row r="131" spans="1:16" ht="12.75">
      <c r="A131" s="45">
        <v>1311</v>
      </c>
      <c r="B131" s="20"/>
      <c r="C131" s="34"/>
      <c r="D131" s="34"/>
      <c r="E131" s="34">
        <f>C131+D131</f>
        <v>0</v>
      </c>
      <c r="F131" s="34">
        <f>3.1281782*E131</f>
        <v>0</v>
      </c>
      <c r="G131" s="20"/>
      <c r="H131" s="36"/>
      <c r="I131" s="34"/>
      <c r="J131" s="34"/>
      <c r="K131" s="34"/>
      <c r="L131" s="34"/>
      <c r="M131" s="34">
        <f>F131+L131</f>
        <v>0</v>
      </c>
      <c r="O131" s="4">
        <v>0</v>
      </c>
      <c r="P131" s="4">
        <v>0</v>
      </c>
    </row>
    <row r="132" spans="1:16" ht="12.75">
      <c r="A132" s="45">
        <v>1312</v>
      </c>
      <c r="B132" s="20"/>
      <c r="C132" s="34">
        <v>4539.736</v>
      </c>
      <c r="D132" s="34">
        <v>1585.443</v>
      </c>
      <c r="E132" s="34">
        <f>C132+D132</f>
        <v>6125.179</v>
      </c>
      <c r="F132" s="34">
        <f>3.1281782*E132</f>
        <v>19160.6514188978</v>
      </c>
      <c r="G132" s="20"/>
      <c r="H132" s="36"/>
      <c r="I132" s="34"/>
      <c r="J132" s="34"/>
      <c r="K132" s="34"/>
      <c r="L132" s="34"/>
      <c r="M132" s="34">
        <f>F132+L132</f>
        <v>19160.6514188978</v>
      </c>
      <c r="O132" s="4">
        <f>F132/M132</f>
        <v>1</v>
      </c>
      <c r="P132" s="4">
        <f>L132/M132</f>
        <v>0</v>
      </c>
    </row>
    <row r="133" spans="1:16" ht="12.75">
      <c r="A133" s="45">
        <v>1313</v>
      </c>
      <c r="B133" s="20"/>
      <c r="C133" s="34">
        <v>2376.572</v>
      </c>
      <c r="D133" s="34">
        <v>2244.68</v>
      </c>
      <c r="E133" s="34">
        <f>C133+D133</f>
        <v>4621.252</v>
      </c>
      <c r="F133" s="34">
        <f>3.1281782*E133</f>
        <v>14456.0997631064</v>
      </c>
      <c r="G133" s="20"/>
      <c r="H133" s="36"/>
      <c r="I133" s="34"/>
      <c r="J133" s="34"/>
      <c r="K133" s="34"/>
      <c r="L133" s="34"/>
      <c r="M133" s="34">
        <f>F133+L133</f>
        <v>14456.0997631064</v>
      </c>
      <c r="O133" s="4">
        <f>F133/M133</f>
        <v>1</v>
      </c>
      <c r="P133" s="4">
        <f>L133/M133</f>
        <v>0</v>
      </c>
    </row>
    <row r="134" spans="1:16" ht="12.75">
      <c r="A134" s="45">
        <v>1314</v>
      </c>
      <c r="B134" s="20"/>
      <c r="C134" s="34">
        <v>9935.209</v>
      </c>
      <c r="D134" s="34">
        <v>11543.205</v>
      </c>
      <c r="E134" s="34">
        <f>C134+D134</f>
        <v>21478.414</v>
      </c>
      <c r="F134" s="34">
        <f>3.1281782*E134</f>
        <v>67188.3064453748</v>
      </c>
      <c r="G134" s="20"/>
      <c r="H134" s="36"/>
      <c r="I134" s="34"/>
      <c r="J134" s="34"/>
      <c r="K134" s="34"/>
      <c r="L134" s="34"/>
      <c r="M134" s="34">
        <f>F134+L134</f>
        <v>67188.3064453748</v>
      </c>
      <c r="O134" s="4">
        <f>F134/M134</f>
        <v>1</v>
      </c>
      <c r="P134" s="4">
        <f>L134/M134</f>
        <v>0</v>
      </c>
    </row>
    <row r="135" spans="1:16" ht="12.75">
      <c r="A135" s="45">
        <v>1315</v>
      </c>
      <c r="B135" s="20"/>
      <c r="C135" s="34">
        <v>3895.899</v>
      </c>
      <c r="D135" s="34">
        <v>6706.103</v>
      </c>
      <c r="E135" s="34">
        <f>C135+D135</f>
        <v>10602.002</v>
      </c>
      <c r="F135" s="34">
        <f>3.1281782*E135</f>
        <v>33164.9515327564</v>
      </c>
      <c r="G135" s="20"/>
      <c r="H135" s="36"/>
      <c r="I135" s="34"/>
      <c r="J135" s="34"/>
      <c r="K135" s="34"/>
      <c r="L135" s="34"/>
      <c r="M135" s="34">
        <f>F135+L135</f>
        <v>33164.9515327564</v>
      </c>
      <c r="O135" s="4">
        <f>F135/M135</f>
        <v>1</v>
      </c>
      <c r="P135" s="4">
        <f>L135/M135</f>
        <v>0</v>
      </c>
    </row>
    <row r="136" spans="1:16" ht="12.75">
      <c r="A136" s="45"/>
      <c r="B136" s="20"/>
      <c r="C136" s="36"/>
      <c r="D136" s="36"/>
      <c r="E136" s="36"/>
      <c r="F136" s="36"/>
      <c r="G136" s="20"/>
      <c r="H136" s="36"/>
      <c r="I136" s="36"/>
      <c r="J136" s="36"/>
      <c r="K136" s="36"/>
      <c r="L136" s="36"/>
      <c r="M136" s="36"/>
      <c r="O136" s="8"/>
      <c r="P136" s="8"/>
    </row>
    <row r="137" spans="1:16" ht="12.75">
      <c r="A137" s="45" t="s">
        <v>32</v>
      </c>
      <c r="B137" s="20"/>
      <c r="C137" s="36">
        <f>SUM(C131:C136)/4</f>
        <v>5186.854</v>
      </c>
      <c r="D137" s="36">
        <f>SUM(D131:D136)/4</f>
        <v>5519.85775</v>
      </c>
      <c r="E137" s="36">
        <f>SUM(E131:E136)/4</f>
        <v>10706.71175</v>
      </c>
      <c r="F137" s="36">
        <f>SUM(F131:F136)/4</f>
        <v>33492.50229003385</v>
      </c>
      <c r="G137" s="20"/>
      <c r="H137" s="36"/>
      <c r="I137" s="36"/>
      <c r="J137" s="36"/>
      <c r="K137" s="36"/>
      <c r="L137" s="36"/>
      <c r="M137" s="36">
        <f>SUM(M131:M136)/4</f>
        <v>33492.50229003385</v>
      </c>
      <c r="O137" s="4">
        <f>F137/M137</f>
        <v>1</v>
      </c>
      <c r="P137" s="4">
        <f>L137/M137</f>
        <v>0</v>
      </c>
    </row>
    <row r="138" spans="1:16" ht="12.75">
      <c r="A138" s="45"/>
      <c r="B138" s="20"/>
      <c r="C138" s="36"/>
      <c r="D138" s="36"/>
      <c r="E138" s="36"/>
      <c r="F138" s="36"/>
      <c r="G138" s="20"/>
      <c r="H138" s="36"/>
      <c r="I138" s="36"/>
      <c r="J138" s="36"/>
      <c r="K138" s="36"/>
      <c r="L138" s="36"/>
      <c r="M138" s="36"/>
      <c r="O138" s="8"/>
      <c r="P138" s="8"/>
    </row>
    <row r="139" spans="1:16" ht="12.75">
      <c r="A139" s="45">
        <v>1316</v>
      </c>
      <c r="B139" s="20"/>
      <c r="C139" s="34">
        <v>366.826</v>
      </c>
      <c r="D139" s="34">
        <v>834.401</v>
      </c>
      <c r="E139" s="34">
        <f>C139+D139</f>
        <v>1201.2269999999999</v>
      </c>
      <c r="F139" s="34">
        <f>3.1281782*E139</f>
        <v>3757.652114651399</v>
      </c>
      <c r="G139" s="20"/>
      <c r="H139" s="36"/>
      <c r="I139" s="34"/>
      <c r="J139" s="34"/>
      <c r="K139" s="34"/>
      <c r="L139" s="34"/>
      <c r="M139" s="34">
        <f>F139+L139</f>
        <v>3757.652114651399</v>
      </c>
      <c r="O139" s="4">
        <f>F139/M139</f>
        <v>1</v>
      </c>
      <c r="P139" s="4">
        <f>L139/M139</f>
        <v>0</v>
      </c>
    </row>
    <row r="140" spans="1:16" ht="12.75">
      <c r="A140" s="45">
        <v>1317</v>
      </c>
      <c r="B140" s="20"/>
      <c r="C140" s="34">
        <v>2533.171</v>
      </c>
      <c r="D140" s="34">
        <v>4821.142</v>
      </c>
      <c r="E140" s="34">
        <f>C140+D140</f>
        <v>7354.313</v>
      </c>
      <c r="F140" s="34">
        <f>3.1281782*E140</f>
        <v>23005.6016025766</v>
      </c>
      <c r="G140" s="20"/>
      <c r="H140" s="36"/>
      <c r="I140" s="34"/>
      <c r="J140" s="34"/>
      <c r="K140" s="34"/>
      <c r="L140" s="34"/>
      <c r="M140" s="34">
        <f>F140+L140</f>
        <v>23005.6016025766</v>
      </c>
      <c r="O140" s="4">
        <f>F140/M140</f>
        <v>1</v>
      </c>
      <c r="P140" s="4">
        <f>L140/M140</f>
        <v>0</v>
      </c>
    </row>
    <row r="141" spans="1:16" ht="12.75">
      <c r="A141" s="45">
        <v>1318</v>
      </c>
      <c r="B141" s="20"/>
      <c r="C141" s="34">
        <v>4328.068</v>
      </c>
      <c r="D141" s="34">
        <v>6953.132</v>
      </c>
      <c r="E141" s="34">
        <f>C141+D141</f>
        <v>11281.2</v>
      </c>
      <c r="F141" s="34">
        <f>3.1281782*E141</f>
        <v>35289.60390984</v>
      </c>
      <c r="G141" s="20"/>
      <c r="H141" s="36"/>
      <c r="I141" s="34"/>
      <c r="J141" s="34"/>
      <c r="K141" s="34"/>
      <c r="L141" s="34"/>
      <c r="M141" s="34">
        <f>F141+L141</f>
        <v>35289.60390984</v>
      </c>
      <c r="O141" s="4">
        <f>F141/M141</f>
        <v>1</v>
      </c>
      <c r="P141" s="4">
        <f>L141/M141</f>
        <v>0</v>
      </c>
    </row>
    <row r="142" spans="1:16" ht="12.75">
      <c r="A142" s="45">
        <v>1319</v>
      </c>
      <c r="B142" s="20"/>
      <c r="C142" s="34">
        <v>2894.132</v>
      </c>
      <c r="D142" s="34">
        <v>5716.765</v>
      </c>
      <c r="E142" s="34">
        <f>C142+D142</f>
        <v>8610.897</v>
      </c>
      <c r="F142" s="34">
        <f>3.1281782*E142</f>
        <v>26936.420277845402</v>
      </c>
      <c r="G142" s="20"/>
      <c r="H142" s="36"/>
      <c r="I142" s="34"/>
      <c r="J142" s="34"/>
      <c r="K142" s="34"/>
      <c r="L142" s="34"/>
      <c r="M142" s="34">
        <f>F142+L142</f>
        <v>26936.420277845402</v>
      </c>
      <c r="O142" s="4">
        <f>F142/M142</f>
        <v>1</v>
      </c>
      <c r="P142" s="4">
        <f>L142/M142</f>
        <v>0</v>
      </c>
    </row>
    <row r="143" spans="1:16" ht="12.75">
      <c r="A143" s="45">
        <v>1320</v>
      </c>
      <c r="B143" s="20"/>
      <c r="C143" s="34">
        <v>2796.7</v>
      </c>
      <c r="D143" s="34">
        <v>5134.041</v>
      </c>
      <c r="E143" s="34">
        <f>C143+D143</f>
        <v>7930.741</v>
      </c>
      <c r="F143" s="34">
        <f>3.1281782*E143</f>
        <v>24808.7711060462</v>
      </c>
      <c r="G143" s="20"/>
      <c r="H143" s="36"/>
      <c r="I143" s="34"/>
      <c r="J143" s="34"/>
      <c r="K143" s="34"/>
      <c r="L143" s="34"/>
      <c r="M143" s="34">
        <f>F143+L143</f>
        <v>24808.7711060462</v>
      </c>
      <c r="O143" s="4">
        <f>F143/M143</f>
        <v>1</v>
      </c>
      <c r="P143" s="4">
        <f>L143/M143</f>
        <v>0</v>
      </c>
    </row>
    <row r="144" spans="1:16" ht="12.75">
      <c r="A144" s="45"/>
      <c r="B144" s="20"/>
      <c r="C144" s="36"/>
      <c r="D144" s="36"/>
      <c r="E144" s="36"/>
      <c r="F144" s="36"/>
      <c r="G144" s="20"/>
      <c r="H144" s="36"/>
      <c r="I144" s="36"/>
      <c r="J144" s="36"/>
      <c r="K144" s="36"/>
      <c r="L144" s="36"/>
      <c r="M144" s="36"/>
      <c r="O144" s="8"/>
      <c r="P144" s="8"/>
    </row>
    <row r="145" spans="1:16" ht="12.75">
      <c r="A145" s="45" t="s">
        <v>33</v>
      </c>
      <c r="B145" s="20"/>
      <c r="C145" s="36">
        <f>SUM(C139:C144)/5</f>
        <v>2583.7794000000004</v>
      </c>
      <c r="D145" s="36">
        <f>SUM(D139:D144)/5</f>
        <v>4691.8962</v>
      </c>
      <c r="E145" s="36">
        <f>SUM(E139:E144)/5</f>
        <v>7275.6756000000005</v>
      </c>
      <c r="F145" s="36">
        <f>SUM(F139:F144)/5</f>
        <v>22759.60980219192</v>
      </c>
      <c r="G145" s="20"/>
      <c r="H145" s="36"/>
      <c r="I145" s="36"/>
      <c r="J145" s="36"/>
      <c r="K145" s="36"/>
      <c r="L145" s="36"/>
      <c r="M145" s="36">
        <f>SUM(M139:M144)/5</f>
        <v>22759.60980219192</v>
      </c>
      <c r="O145" s="4">
        <f>F145/M145</f>
        <v>1</v>
      </c>
      <c r="P145" s="4">
        <f>L145/M145</f>
        <v>0</v>
      </c>
    </row>
    <row r="146" spans="1:16" ht="12.75">
      <c r="A146" s="45"/>
      <c r="B146" s="20"/>
      <c r="C146" s="36"/>
      <c r="D146" s="36"/>
      <c r="E146" s="36"/>
      <c r="F146" s="36"/>
      <c r="G146" s="20"/>
      <c r="H146" s="36"/>
      <c r="I146" s="36"/>
      <c r="J146" s="36"/>
      <c r="K146" s="36"/>
      <c r="L146" s="36"/>
      <c r="M146" s="36"/>
      <c r="O146" s="8"/>
      <c r="P146" s="8"/>
    </row>
    <row r="147" spans="1:16" ht="12.75">
      <c r="A147" s="45">
        <v>1321</v>
      </c>
      <c r="B147" s="20"/>
      <c r="C147" s="34">
        <v>3058.508</v>
      </c>
      <c r="D147" s="34">
        <v>1795.907</v>
      </c>
      <c r="E147" s="34">
        <f>C147+D147</f>
        <v>4854.415</v>
      </c>
      <c r="F147" s="34">
        <f>3.1281782*E147</f>
        <v>15185.475176753</v>
      </c>
      <c r="G147" s="20"/>
      <c r="H147" s="36"/>
      <c r="I147" s="34"/>
      <c r="J147" s="34"/>
      <c r="K147" s="34"/>
      <c r="L147" s="34"/>
      <c r="M147" s="34">
        <f>F147+L147</f>
        <v>15185.475176753</v>
      </c>
      <c r="O147" s="4">
        <f>F147/M147</f>
        <v>1</v>
      </c>
      <c r="P147" s="4">
        <f>L147/M147</f>
        <v>0</v>
      </c>
    </row>
    <row r="148" spans="1:16" ht="12.75">
      <c r="A148" s="45">
        <v>1322</v>
      </c>
      <c r="B148" s="20"/>
      <c r="C148" s="34">
        <f>(C147+C149)/2</f>
        <v>1694.9265</v>
      </c>
      <c r="D148" s="34">
        <f>(D147+D149)/2</f>
        <v>1072.244</v>
      </c>
      <c r="E148" s="34">
        <f>(E147+E149)/2</f>
        <v>2767.1705</v>
      </c>
      <c r="F148" s="34">
        <f>(F147+F149)/2</f>
        <v>8656.202433783099</v>
      </c>
      <c r="G148" s="20"/>
      <c r="H148" s="36"/>
      <c r="I148" s="34"/>
      <c r="J148" s="34"/>
      <c r="K148" s="34"/>
      <c r="L148" s="34"/>
      <c r="M148" s="34">
        <f>F148+L148</f>
        <v>8656.202433783099</v>
      </c>
      <c r="O148" s="4">
        <f>F148/M148</f>
        <v>1</v>
      </c>
      <c r="P148" s="4">
        <f>L148/M148</f>
        <v>0</v>
      </c>
    </row>
    <row r="149" spans="1:16" ht="12.75">
      <c r="A149" s="45">
        <v>1323</v>
      </c>
      <c r="B149" s="20"/>
      <c r="C149" s="34">
        <v>331.345</v>
      </c>
      <c r="D149" s="34">
        <v>348.581</v>
      </c>
      <c r="E149" s="34">
        <f>C149+D149</f>
        <v>679.926</v>
      </c>
      <c r="F149" s="34">
        <f>3.1281782*E149</f>
        <v>2126.9296908132</v>
      </c>
      <c r="G149" s="20"/>
      <c r="H149" s="36"/>
      <c r="I149" s="34"/>
      <c r="J149" s="34"/>
      <c r="K149" s="34"/>
      <c r="L149" s="34"/>
      <c r="M149" s="34">
        <f>F149+L149</f>
        <v>2126.9296908132</v>
      </c>
      <c r="O149" s="4">
        <f>F149/M149</f>
        <v>1</v>
      </c>
      <c r="P149" s="4">
        <f>L149/M149</f>
        <v>0</v>
      </c>
    </row>
    <row r="150" spans="1:16" ht="12.75">
      <c r="A150" s="45">
        <v>1324</v>
      </c>
      <c r="B150" s="20"/>
      <c r="C150" s="34">
        <v>561.566</v>
      </c>
      <c r="D150" s="34"/>
      <c r="E150" s="34">
        <f>C150+D150</f>
        <v>561.566</v>
      </c>
      <c r="F150" s="34">
        <f>3.1281782*E150</f>
        <v>1756.6785190612</v>
      </c>
      <c r="G150" s="20"/>
      <c r="H150" s="36"/>
      <c r="I150" s="34"/>
      <c r="J150" s="34"/>
      <c r="K150" s="34"/>
      <c r="L150" s="34"/>
      <c r="M150" s="34">
        <f>F150+L150</f>
        <v>1756.6785190612</v>
      </c>
      <c r="O150" s="4">
        <f>F150/M150</f>
        <v>1</v>
      </c>
      <c r="P150" s="4">
        <f>L150/M150</f>
        <v>0</v>
      </c>
    </row>
    <row r="151" spans="1:16" ht="12.75">
      <c r="A151" s="45">
        <v>1325</v>
      </c>
      <c r="B151" s="20"/>
      <c r="C151" s="34">
        <v>37.458</v>
      </c>
      <c r="D151" s="34"/>
      <c r="E151" s="34">
        <f>C151+D151</f>
        <v>37.458</v>
      </c>
      <c r="F151" s="34">
        <f>3.1281782*E151</f>
        <v>117.17529901559999</v>
      </c>
      <c r="G151" s="20"/>
      <c r="H151" s="36"/>
      <c r="I151" s="34"/>
      <c r="J151" s="34"/>
      <c r="K151" s="34"/>
      <c r="L151" s="34"/>
      <c r="M151" s="34">
        <f>F151+L151</f>
        <v>117.17529901559999</v>
      </c>
      <c r="O151" s="4">
        <f>F151/M151</f>
        <v>1</v>
      </c>
      <c r="P151" s="4">
        <f>L151/M151</f>
        <v>0</v>
      </c>
    </row>
    <row r="152" spans="1:16" ht="12.75">
      <c r="A152" s="45"/>
      <c r="B152" s="20"/>
      <c r="C152" s="36"/>
      <c r="D152" s="36"/>
      <c r="E152" s="36"/>
      <c r="F152" s="36"/>
      <c r="G152" s="20"/>
      <c r="H152" s="36"/>
      <c r="I152" s="36"/>
      <c r="J152" s="36"/>
      <c r="K152" s="36"/>
      <c r="L152" s="36"/>
      <c r="M152" s="36"/>
      <c r="O152" s="8"/>
      <c r="P152" s="8"/>
    </row>
    <row r="153" spans="1:16" ht="12.75">
      <c r="A153" s="45" t="s">
        <v>34</v>
      </c>
      <c r="B153" s="20"/>
      <c r="C153" s="36">
        <f>SUM(C147:C152)/5</f>
        <v>1136.7606999999998</v>
      </c>
      <c r="D153" s="36">
        <f>SUM(D147:D152)/5</f>
        <v>643.3464</v>
      </c>
      <c r="E153" s="36">
        <f>SUM(E147:E152)/5</f>
        <v>1780.1071000000004</v>
      </c>
      <c r="F153" s="36">
        <f>SUM(F147:F152)/5</f>
        <v>5568.49222388522</v>
      </c>
      <c r="G153" s="20"/>
      <c r="H153" s="36"/>
      <c r="I153" s="36"/>
      <c r="J153" s="36"/>
      <c r="K153" s="36"/>
      <c r="L153" s="36"/>
      <c r="M153" s="36">
        <f>SUM(M147:M152)/5</f>
        <v>5568.49222388522</v>
      </c>
      <c r="O153" s="4">
        <f>F153/M153</f>
        <v>1</v>
      </c>
      <c r="P153" s="4">
        <f>L153/M153</f>
        <v>0</v>
      </c>
    </row>
    <row r="154" spans="1:16" ht="12.75">
      <c r="A154" s="45"/>
      <c r="B154" s="20"/>
      <c r="C154" s="36"/>
      <c r="D154" s="36"/>
      <c r="E154" s="36"/>
      <c r="F154" s="36"/>
      <c r="G154" s="20"/>
      <c r="H154" s="36"/>
      <c r="I154" s="36"/>
      <c r="J154" s="36"/>
      <c r="K154" s="36"/>
      <c r="L154" s="36"/>
      <c r="M154" s="36"/>
      <c r="O154" s="8"/>
      <c r="P154" s="8"/>
    </row>
    <row r="155" spans="1:16" ht="12.75">
      <c r="A155" s="45">
        <v>1326</v>
      </c>
      <c r="B155" s="20"/>
      <c r="C155" s="34">
        <v>45.314</v>
      </c>
      <c r="D155" s="34"/>
      <c r="E155" s="34">
        <f>C155+D155</f>
        <v>45.314</v>
      </c>
      <c r="F155" s="34">
        <f>3.1281782*E155</f>
        <v>141.7502669548</v>
      </c>
      <c r="G155" s="20"/>
      <c r="H155" s="36"/>
      <c r="I155" s="34"/>
      <c r="J155" s="34"/>
      <c r="K155" s="34"/>
      <c r="L155" s="34"/>
      <c r="M155" s="34">
        <f>F155+L155</f>
        <v>141.7502669548</v>
      </c>
      <c r="O155" s="4">
        <f>F155/M155</f>
        <v>1</v>
      </c>
      <c r="P155" s="4">
        <f>L155/M155</f>
        <v>0</v>
      </c>
    </row>
    <row r="156" spans="1:16" ht="12.75">
      <c r="A156" s="45">
        <v>1327</v>
      </c>
      <c r="B156" s="20"/>
      <c r="C156" s="34">
        <v>76.215</v>
      </c>
      <c r="D156" s="34"/>
      <c r="E156" s="34">
        <f>C156+D156</f>
        <v>76.215</v>
      </c>
      <c r="F156" s="34">
        <f>3.1281782*E156</f>
        <v>238.414101513</v>
      </c>
      <c r="G156" s="20"/>
      <c r="H156" s="36"/>
      <c r="I156" s="34"/>
      <c r="J156" s="34"/>
      <c r="K156" s="34"/>
      <c r="L156" s="34"/>
      <c r="M156" s="34">
        <f>F156+L156</f>
        <v>238.414101513</v>
      </c>
      <c r="O156" s="4">
        <f>F156/M156</f>
        <v>1</v>
      </c>
      <c r="P156" s="4">
        <f>L156/M156</f>
        <v>0</v>
      </c>
    </row>
    <row r="157" spans="1:16" ht="12.75">
      <c r="A157" s="45">
        <v>1328</v>
      </c>
      <c r="B157" s="20"/>
      <c r="C157" s="34">
        <v>48.567</v>
      </c>
      <c r="D157" s="34"/>
      <c r="E157" s="34">
        <f>C157+D157</f>
        <v>48.567</v>
      </c>
      <c r="F157" s="34">
        <f>3.1281782*E157</f>
        <v>151.9262306394</v>
      </c>
      <c r="G157" s="20"/>
      <c r="H157" s="36"/>
      <c r="I157" s="34"/>
      <c r="J157" s="34"/>
      <c r="K157" s="34"/>
      <c r="L157" s="34"/>
      <c r="M157" s="34">
        <f>F157+L157</f>
        <v>151.9262306394</v>
      </c>
      <c r="O157" s="4">
        <f>F157/M157</f>
        <v>1</v>
      </c>
      <c r="P157" s="4">
        <f>L157/M157</f>
        <v>0</v>
      </c>
    </row>
    <row r="158" spans="1:16" ht="12.75">
      <c r="A158" s="45">
        <v>1329</v>
      </c>
      <c r="B158" s="20"/>
      <c r="C158" s="34">
        <v>233.6</v>
      </c>
      <c r="D158" s="34">
        <v>46.262</v>
      </c>
      <c r="E158" s="34">
        <f>C158+D158</f>
        <v>279.86199999999997</v>
      </c>
      <c r="F158" s="34">
        <f>3.1281782*E158</f>
        <v>875.4582074083999</v>
      </c>
      <c r="G158" s="20"/>
      <c r="H158" s="36"/>
      <c r="I158" s="34"/>
      <c r="J158" s="34"/>
      <c r="K158" s="34"/>
      <c r="L158" s="34"/>
      <c r="M158" s="34">
        <f>F158+L158</f>
        <v>875.4582074083999</v>
      </c>
      <c r="O158" s="4">
        <f>F158/M158</f>
        <v>1</v>
      </c>
      <c r="P158" s="4">
        <f>L158/M158</f>
        <v>0</v>
      </c>
    </row>
    <row r="159" spans="1:16" ht="12.75">
      <c r="A159" s="45">
        <v>1330</v>
      </c>
      <c r="B159" s="20"/>
      <c r="C159" s="34">
        <v>159.326</v>
      </c>
      <c r="D159" s="34"/>
      <c r="E159" s="34">
        <f>C159+D159</f>
        <v>159.326</v>
      </c>
      <c r="F159" s="34">
        <f>3.1281782*E159</f>
        <v>498.4001198931999</v>
      </c>
      <c r="G159" s="20"/>
      <c r="H159" s="36"/>
      <c r="I159" s="34"/>
      <c r="J159" s="34"/>
      <c r="K159" s="34"/>
      <c r="L159" s="34"/>
      <c r="M159" s="34">
        <f>F159+L159</f>
        <v>498.4001198931999</v>
      </c>
      <c r="O159" s="4">
        <f>F159/M159</f>
        <v>1</v>
      </c>
      <c r="P159" s="4">
        <f>L159/M159</f>
        <v>0</v>
      </c>
    </row>
    <row r="160" spans="1:16" ht="12.75">
      <c r="A160" s="45"/>
      <c r="B160" s="20"/>
      <c r="C160" s="36"/>
      <c r="D160" s="36"/>
      <c r="E160" s="36"/>
      <c r="F160" s="36"/>
      <c r="G160" s="20"/>
      <c r="H160" s="36"/>
      <c r="I160" s="36"/>
      <c r="J160" s="36"/>
      <c r="K160" s="36"/>
      <c r="L160" s="36"/>
      <c r="M160" s="36"/>
      <c r="O160" s="8"/>
      <c r="P160" s="8"/>
    </row>
    <row r="161" spans="1:16" ht="12.75">
      <c r="A161" s="45" t="s">
        <v>35</v>
      </c>
      <c r="B161" s="20"/>
      <c r="C161" s="36">
        <f>SUM(C155:C160)/5</f>
        <v>112.60440000000001</v>
      </c>
      <c r="D161" s="36">
        <f>SUM(D155:D160)/5</f>
        <v>9.2524</v>
      </c>
      <c r="E161" s="36">
        <f>SUM(E155:E160)/5</f>
        <v>121.85679999999999</v>
      </c>
      <c r="F161" s="36">
        <f>SUM(F155:F160)/5</f>
        <v>381.18978528175995</v>
      </c>
      <c r="G161" s="20"/>
      <c r="H161" s="36"/>
      <c r="I161" s="36"/>
      <c r="J161" s="36"/>
      <c r="K161" s="36"/>
      <c r="L161" s="36"/>
      <c r="M161" s="36">
        <f>SUM(M155:M160)/5</f>
        <v>381.18978528175995</v>
      </c>
      <c r="O161" s="4">
        <f>F161/M161</f>
        <v>1</v>
      </c>
      <c r="P161" s="4">
        <f>L161/M161</f>
        <v>0</v>
      </c>
    </row>
    <row r="162" spans="1:16" ht="12.75">
      <c r="A162" s="45"/>
      <c r="B162" s="20"/>
      <c r="C162" s="36"/>
      <c r="D162" s="36"/>
      <c r="E162" s="36"/>
      <c r="F162" s="36"/>
      <c r="G162" s="20"/>
      <c r="H162" s="36"/>
      <c r="I162" s="36"/>
      <c r="J162" s="36"/>
      <c r="K162" s="36"/>
      <c r="L162" s="36"/>
      <c r="M162" s="36"/>
      <c r="O162" s="8"/>
      <c r="P162" s="8"/>
    </row>
    <row r="163" spans="1:16" ht="12.75">
      <c r="A163" s="45">
        <v>1331</v>
      </c>
      <c r="B163" s="20"/>
      <c r="C163" s="34">
        <v>163.208</v>
      </c>
      <c r="D163" s="34">
        <v>203.918</v>
      </c>
      <c r="E163" s="34">
        <f>C163+D163</f>
        <v>367.126</v>
      </c>
      <c r="F163" s="34">
        <f>3.1281782*E163</f>
        <v>1148.4355498531997</v>
      </c>
      <c r="G163" s="20"/>
      <c r="H163" s="36"/>
      <c r="I163" s="34"/>
      <c r="J163" s="34"/>
      <c r="K163" s="34"/>
      <c r="L163" s="34"/>
      <c r="M163" s="34">
        <f>F163+L163</f>
        <v>1148.4355498531997</v>
      </c>
      <c r="O163" s="4">
        <f>F163/M163</f>
        <v>1</v>
      </c>
      <c r="P163" s="4">
        <f>L163/M163</f>
        <v>0</v>
      </c>
    </row>
    <row r="164" spans="1:16" ht="12.75">
      <c r="A164" s="45">
        <v>1332</v>
      </c>
      <c r="B164" s="20"/>
      <c r="C164" s="34">
        <v>133.106</v>
      </c>
      <c r="D164" s="34"/>
      <c r="E164" s="34">
        <f>C164+D164</f>
        <v>133.106</v>
      </c>
      <c r="F164" s="34">
        <f>3.1281782*E164</f>
        <v>416.37928748919995</v>
      </c>
      <c r="G164" s="20"/>
      <c r="H164" s="36"/>
      <c r="I164" s="34"/>
      <c r="J164" s="34"/>
      <c r="K164" s="34"/>
      <c r="L164" s="34"/>
      <c r="M164" s="34">
        <f>F164+L164</f>
        <v>416.37928748919995</v>
      </c>
      <c r="O164" s="4">
        <f>F164/M164</f>
        <v>1</v>
      </c>
      <c r="P164" s="4">
        <f>L164/M164</f>
        <v>0</v>
      </c>
    </row>
    <row r="165" spans="1:16" ht="12.75">
      <c r="A165" s="45">
        <v>1333</v>
      </c>
      <c r="B165" s="20"/>
      <c r="C165" s="34">
        <v>212.341</v>
      </c>
      <c r="D165" s="34"/>
      <c r="E165" s="34">
        <f>C165+D165</f>
        <v>212.341</v>
      </c>
      <c r="F165" s="34">
        <f>3.1281782*E165</f>
        <v>664.2404871662</v>
      </c>
      <c r="G165" s="20"/>
      <c r="H165" s="36"/>
      <c r="I165" s="34"/>
      <c r="J165" s="34"/>
      <c r="K165" s="34"/>
      <c r="L165" s="34"/>
      <c r="M165" s="34">
        <f>F165+L165</f>
        <v>664.2404871662</v>
      </c>
      <c r="O165" s="4">
        <f>F165/M165</f>
        <v>1</v>
      </c>
      <c r="P165" s="4">
        <f>L165/M165</f>
        <v>0</v>
      </c>
    </row>
    <row r="166" spans="1:16" ht="12.75">
      <c r="A166" s="45">
        <v>1334</v>
      </c>
      <c r="B166" s="20"/>
      <c r="C166" s="34">
        <v>123.768</v>
      </c>
      <c r="D166" s="34"/>
      <c r="E166" s="34">
        <f>C166+D166</f>
        <v>123.768</v>
      </c>
      <c r="F166" s="34">
        <f>3.1281782*E166</f>
        <v>387.1683594576</v>
      </c>
      <c r="G166" s="20"/>
      <c r="H166" s="36"/>
      <c r="I166" s="34"/>
      <c r="J166" s="34"/>
      <c r="K166" s="34"/>
      <c r="L166" s="34"/>
      <c r="M166" s="34">
        <f>F166+L166</f>
        <v>387.1683594576</v>
      </c>
      <c r="O166" s="4">
        <f>F166/M166</f>
        <v>1</v>
      </c>
      <c r="P166" s="4">
        <f>L166/M166</f>
        <v>0</v>
      </c>
    </row>
    <row r="167" spans="1:16" ht="12.75">
      <c r="A167" s="45">
        <v>1335</v>
      </c>
      <c r="B167" s="20"/>
      <c r="C167" s="34">
        <v>208.937</v>
      </c>
      <c r="D167" s="34"/>
      <c r="E167" s="34">
        <f>C167+D167</f>
        <v>208.937</v>
      </c>
      <c r="F167" s="34">
        <v>709.429</v>
      </c>
      <c r="G167" s="20"/>
      <c r="H167" s="36"/>
      <c r="I167" s="34"/>
      <c r="J167" s="34"/>
      <c r="K167" s="34"/>
      <c r="L167" s="34"/>
      <c r="M167" s="34">
        <f>F167+L167</f>
        <v>709.429</v>
      </c>
      <c r="O167" s="4">
        <f>F167/M167</f>
        <v>1</v>
      </c>
      <c r="P167" s="4">
        <f>L167/M167</f>
        <v>0</v>
      </c>
    </row>
    <row r="168" spans="1:16" ht="12.75">
      <c r="A168" s="45"/>
      <c r="B168" s="20"/>
      <c r="C168" s="36"/>
      <c r="D168" s="36"/>
      <c r="E168" s="36"/>
      <c r="F168" s="36"/>
      <c r="G168" s="20"/>
      <c r="H168" s="36"/>
      <c r="I168" s="36"/>
      <c r="J168" s="36"/>
      <c r="K168" s="36"/>
      <c r="L168" s="36"/>
      <c r="M168" s="36"/>
      <c r="O168" s="8"/>
      <c r="P168" s="8"/>
    </row>
    <row r="169" spans="1:16" ht="12.75">
      <c r="A169" s="45" t="s">
        <v>36</v>
      </c>
      <c r="B169" s="20"/>
      <c r="C169" s="36">
        <f>SUM(C163:C168)/5</f>
        <v>168.272</v>
      </c>
      <c r="D169" s="36">
        <f>SUM(D163:D168)/5</f>
        <v>40.7836</v>
      </c>
      <c r="E169" s="36">
        <f>SUM(E163:E168)/5</f>
        <v>209.0556</v>
      </c>
      <c r="F169" s="36">
        <f>SUM(F163:F168)/5</f>
        <v>665.1305367932398</v>
      </c>
      <c r="G169" s="20"/>
      <c r="H169" s="36"/>
      <c r="I169" s="36"/>
      <c r="J169" s="36"/>
      <c r="K169" s="36"/>
      <c r="L169" s="36"/>
      <c r="M169" s="36">
        <f>SUM(M163:M168)/5</f>
        <v>665.1305367932398</v>
      </c>
      <c r="O169" s="4">
        <f>F169/M169</f>
        <v>1</v>
      </c>
      <c r="P169" s="4">
        <f>L169/M169</f>
        <v>0</v>
      </c>
    </row>
    <row r="170" spans="1:16" ht="12.75">
      <c r="A170" s="45"/>
      <c r="B170" s="20"/>
      <c r="C170" s="36"/>
      <c r="D170" s="36"/>
      <c r="E170" s="36"/>
      <c r="F170" s="36"/>
      <c r="G170" s="20"/>
      <c r="H170" s="36"/>
      <c r="I170" s="36"/>
      <c r="J170" s="36"/>
      <c r="K170" s="36"/>
      <c r="L170" s="36"/>
      <c r="M170" s="36"/>
      <c r="O170" s="8"/>
      <c r="P170" s="8"/>
    </row>
    <row r="171" spans="1:16" ht="12.75">
      <c r="A171" s="45">
        <v>1336</v>
      </c>
      <c r="B171" s="20"/>
      <c r="C171" s="34">
        <v>909.116</v>
      </c>
      <c r="D171" s="34"/>
      <c r="E171" s="34">
        <f>C171+D171</f>
        <v>909.116</v>
      </c>
      <c r="F171" s="34">
        <v>3288.631</v>
      </c>
      <c r="G171" s="20"/>
      <c r="H171" s="36"/>
      <c r="I171" s="34"/>
      <c r="J171" s="34"/>
      <c r="K171" s="34"/>
      <c r="L171" s="34"/>
      <c r="M171" s="34">
        <f>F171+L171</f>
        <v>3288.631</v>
      </c>
      <c r="O171" s="4">
        <f>F171/M171</f>
        <v>1</v>
      </c>
      <c r="P171" s="4">
        <f>L171/M171</f>
        <v>0</v>
      </c>
    </row>
    <row r="172" spans="1:16" ht="12.75">
      <c r="A172" s="45">
        <v>1337</v>
      </c>
      <c r="B172" s="20"/>
      <c r="C172" s="34">
        <v>364.883</v>
      </c>
      <c r="D172" s="34"/>
      <c r="E172" s="34">
        <f>C172+D172</f>
        <v>364.883</v>
      </c>
      <c r="F172" s="34">
        <v>1321.189</v>
      </c>
      <c r="G172" s="20"/>
      <c r="H172" s="36"/>
      <c r="I172" s="34"/>
      <c r="J172" s="34"/>
      <c r="K172" s="34"/>
      <c r="L172" s="34"/>
      <c r="M172" s="34">
        <f>F172+L172</f>
        <v>1321.189</v>
      </c>
      <c r="O172" s="4">
        <f>F172/M172</f>
        <v>1</v>
      </c>
      <c r="P172" s="4">
        <f>L172/M172</f>
        <v>0</v>
      </c>
    </row>
    <row r="173" spans="1:16" ht="12.75">
      <c r="A173" s="45">
        <v>1338</v>
      </c>
      <c r="B173" s="20"/>
      <c r="C173" s="34">
        <v>412.28</v>
      </c>
      <c r="D173" s="34"/>
      <c r="E173" s="34">
        <f>C173+D173</f>
        <v>412.28</v>
      </c>
      <c r="F173" s="34">
        <v>1490.71</v>
      </c>
      <c r="G173" s="20"/>
      <c r="H173" s="36"/>
      <c r="I173" s="34"/>
      <c r="J173" s="34"/>
      <c r="K173" s="34"/>
      <c r="L173" s="34"/>
      <c r="M173" s="34">
        <f>F173+L173</f>
        <v>1490.71</v>
      </c>
      <c r="O173" s="4">
        <f>F173/M173</f>
        <v>1</v>
      </c>
      <c r="P173" s="4">
        <f>L173/M173</f>
        <v>0</v>
      </c>
    </row>
    <row r="174" spans="1:16" ht="12.75">
      <c r="A174" s="45">
        <v>1339</v>
      </c>
      <c r="B174" s="20"/>
      <c r="C174" s="34">
        <v>520.196</v>
      </c>
      <c r="D174" s="34"/>
      <c r="E174" s="34">
        <f>C174+D174</f>
        <v>520.196</v>
      </c>
      <c r="F174" s="34">
        <v>1877.18</v>
      </c>
      <c r="G174" s="20"/>
      <c r="H174" s="36"/>
      <c r="I174" s="34"/>
      <c r="J174" s="34"/>
      <c r="K174" s="34"/>
      <c r="L174" s="34"/>
      <c r="M174" s="34">
        <f>F174+L174</f>
        <v>1877.18</v>
      </c>
      <c r="O174" s="4">
        <f>F174/M174</f>
        <v>1</v>
      </c>
      <c r="P174" s="4">
        <f>L174/M174</f>
        <v>0</v>
      </c>
    </row>
    <row r="175" spans="1:16" ht="12.75">
      <c r="A175" s="45">
        <v>1340</v>
      </c>
      <c r="B175" s="20"/>
      <c r="C175" s="34">
        <v>536.485</v>
      </c>
      <c r="D175" s="34"/>
      <c r="E175" s="34">
        <f>C175+D175</f>
        <v>536.485</v>
      </c>
      <c r="F175" s="34">
        <v>1937.005</v>
      </c>
      <c r="G175" s="20"/>
      <c r="H175" s="36"/>
      <c r="I175" s="34"/>
      <c r="J175" s="34"/>
      <c r="K175" s="34"/>
      <c r="L175" s="34"/>
      <c r="M175" s="34">
        <f>F175+L175</f>
        <v>1937.005</v>
      </c>
      <c r="O175" s="4">
        <f>F175/M175</f>
        <v>1</v>
      </c>
      <c r="P175" s="4">
        <f>L175/M175</f>
        <v>0</v>
      </c>
    </row>
    <row r="176" spans="1:16" ht="12.75">
      <c r="A176" s="33">
        <v>1341</v>
      </c>
      <c r="B176" s="20"/>
      <c r="C176" s="34">
        <v>313.596</v>
      </c>
      <c r="D176" s="34"/>
      <c r="E176" s="34">
        <f>C176+D176</f>
        <v>313.596</v>
      </c>
      <c r="F176" s="34">
        <v>1131.909</v>
      </c>
      <c r="G176" s="20"/>
      <c r="H176" s="36"/>
      <c r="I176" s="34"/>
      <c r="J176" s="34"/>
      <c r="K176" s="34"/>
      <c r="L176" s="34"/>
      <c r="M176" s="34">
        <f>F176+L176</f>
        <v>1131.909</v>
      </c>
      <c r="O176" s="4">
        <f>F176/M176</f>
        <v>1</v>
      </c>
      <c r="P176" s="4">
        <f>L176/M176</f>
        <v>0</v>
      </c>
    </row>
    <row r="177" spans="1:16" ht="12.75">
      <c r="A177" s="45"/>
      <c r="B177" s="20"/>
      <c r="C177" s="36"/>
      <c r="D177" s="36"/>
      <c r="E177" s="36"/>
      <c r="F177" s="36"/>
      <c r="G177" s="20"/>
      <c r="H177" s="36"/>
      <c r="I177" s="36"/>
      <c r="J177" s="36"/>
      <c r="K177" s="36"/>
      <c r="L177" s="36"/>
      <c r="M177" s="36"/>
      <c r="O177" s="8"/>
      <c r="P177" s="8"/>
    </row>
    <row r="178" spans="1:16" ht="12.75">
      <c r="A178" s="45" t="s">
        <v>38</v>
      </c>
      <c r="B178" s="20"/>
      <c r="C178" s="36">
        <f>SUM(C172:C177)/5</f>
        <v>429.488</v>
      </c>
      <c r="D178" s="36">
        <f>SUM(D172:D177)/5</f>
        <v>0</v>
      </c>
      <c r="E178" s="36">
        <f>SUM(E172:E177)/5</f>
        <v>429.488</v>
      </c>
      <c r="F178" s="36">
        <f>SUM(F172:F177)/5</f>
        <v>1551.5986</v>
      </c>
      <c r="G178" s="20"/>
      <c r="H178" s="36"/>
      <c r="I178" s="36"/>
      <c r="J178" s="36"/>
      <c r="K178" s="36"/>
      <c r="L178" s="36"/>
      <c r="M178" s="36">
        <f>SUM(M172:M177)/5</f>
        <v>1551.5986</v>
      </c>
      <c r="O178" s="4">
        <f>F178/M178</f>
        <v>1</v>
      </c>
      <c r="P178" s="4">
        <f>L178/M178</f>
        <v>0</v>
      </c>
    </row>
    <row r="179" spans="1:16" ht="12.75">
      <c r="A179" s="45"/>
      <c r="B179" s="20"/>
      <c r="C179" s="36"/>
      <c r="D179" s="36"/>
      <c r="E179" s="36"/>
      <c r="F179" s="36"/>
      <c r="G179" s="20"/>
      <c r="H179" s="36"/>
      <c r="I179" s="36"/>
      <c r="J179" s="36"/>
      <c r="K179" s="36"/>
      <c r="L179" s="36"/>
      <c r="M179" s="36"/>
      <c r="O179" s="8"/>
      <c r="P179" s="8"/>
    </row>
    <row r="180" spans="1:16" ht="12.75">
      <c r="A180" s="45">
        <v>1341</v>
      </c>
      <c r="B180" s="20"/>
      <c r="C180" s="34">
        <v>313.596</v>
      </c>
      <c r="D180" s="34"/>
      <c r="E180" s="34">
        <f>C180+D180</f>
        <v>313.596</v>
      </c>
      <c r="F180" s="34">
        <v>1131.909</v>
      </c>
      <c r="G180" s="20"/>
      <c r="H180" s="36"/>
      <c r="I180" s="34"/>
      <c r="J180" s="34"/>
      <c r="K180" s="34"/>
      <c r="L180" s="34"/>
      <c r="M180" s="34">
        <f>F180+L180</f>
        <v>1131.909</v>
      </c>
      <c r="O180" s="4">
        <f>F180/M180</f>
        <v>1</v>
      </c>
      <c r="P180" s="4">
        <f>L180/M180</f>
        <v>0</v>
      </c>
    </row>
    <row r="181" spans="1:16" ht="12.75">
      <c r="A181" s="45">
        <v>1342</v>
      </c>
      <c r="B181" s="20"/>
      <c r="C181" s="34">
        <v>1489.366</v>
      </c>
      <c r="D181" s="34"/>
      <c r="E181" s="34">
        <f>C181+D181</f>
        <v>1489.366</v>
      </c>
      <c r="F181" s="34">
        <v>5365.527</v>
      </c>
      <c r="H181" s="36"/>
      <c r="I181" s="34"/>
      <c r="J181" s="34"/>
      <c r="K181" s="34"/>
      <c r="L181" s="34"/>
      <c r="M181" s="34">
        <f>F181+L181</f>
        <v>5365.527</v>
      </c>
      <c r="O181" s="4">
        <f>F181/M181</f>
        <v>1</v>
      </c>
      <c r="P181" s="4">
        <f>L181/M181</f>
        <v>0</v>
      </c>
    </row>
    <row r="182" spans="1:16" ht="12.75">
      <c r="A182" s="45">
        <v>1343</v>
      </c>
      <c r="B182" s="20"/>
      <c r="C182" s="34">
        <v>4096.418</v>
      </c>
      <c r="D182" s="34"/>
      <c r="E182" s="34">
        <f>C182+D182</f>
        <v>4096.418</v>
      </c>
      <c r="F182" s="34">
        <v>14753.08</v>
      </c>
      <c r="H182" s="36"/>
      <c r="I182" s="34"/>
      <c r="J182" s="34"/>
      <c r="K182" s="34"/>
      <c r="L182" s="34"/>
      <c r="M182" s="34">
        <f>F182+L182</f>
        <v>14753.08</v>
      </c>
      <c r="O182" s="4">
        <f>F182/M182</f>
        <v>1</v>
      </c>
      <c r="P182" s="4">
        <f>L182/M182</f>
        <v>0</v>
      </c>
    </row>
    <row r="183" spans="1:16" ht="12.75">
      <c r="A183" s="45">
        <v>1344</v>
      </c>
      <c r="B183" s="20"/>
      <c r="C183" s="34">
        <v>11702.486</v>
      </c>
      <c r="D183" s="34"/>
      <c r="E183" s="34">
        <f>C183+D183</f>
        <v>11702.486</v>
      </c>
      <c r="F183" s="34">
        <v>40627.44</v>
      </c>
      <c r="H183" s="36"/>
      <c r="I183" s="34">
        <v>936.47</v>
      </c>
      <c r="J183" s="34"/>
      <c r="K183" s="34">
        <f>I183+J183</f>
        <v>936.47</v>
      </c>
      <c r="L183" s="34">
        <v>39327.241</v>
      </c>
      <c r="M183" s="34">
        <f>F183+L183</f>
        <v>79954.68100000001</v>
      </c>
      <c r="O183" s="4">
        <f>F183/M183</f>
        <v>0.5081308497747618</v>
      </c>
      <c r="P183" s="4">
        <f>L183/M183</f>
        <v>0.4918691502252382</v>
      </c>
    </row>
    <row r="184" spans="1:16" ht="12.75">
      <c r="A184" s="45">
        <v>1345</v>
      </c>
      <c r="B184" s="20"/>
      <c r="C184" s="34">
        <v>7229.722</v>
      </c>
      <c r="D184" s="34">
        <v>555.694</v>
      </c>
      <c r="E184" s="34">
        <f>C184+D184</f>
        <v>7785.415999999999</v>
      </c>
      <c r="F184" s="34">
        <v>26674.41</v>
      </c>
      <c r="H184" s="36"/>
      <c r="I184" s="34">
        <v>263.585</v>
      </c>
      <c r="J184" s="34"/>
      <c r="K184" s="34">
        <f>I184+J184</f>
        <v>263.585</v>
      </c>
      <c r="L184" s="34">
        <v>9970.181</v>
      </c>
      <c r="M184" s="34">
        <f>F184+L184</f>
        <v>36644.591</v>
      </c>
      <c r="O184" s="4">
        <f>F184/M184</f>
        <v>0.7279221645562916</v>
      </c>
      <c r="P184" s="4">
        <f>L184/M184</f>
        <v>0.27207783544370845</v>
      </c>
    </row>
    <row r="185" spans="1:16" ht="12.75">
      <c r="A185" s="45"/>
      <c r="B185" s="20"/>
      <c r="C185" s="36"/>
      <c r="D185" s="36"/>
      <c r="E185" s="36"/>
      <c r="F185" s="36"/>
      <c r="H185" s="36"/>
      <c r="I185" s="36"/>
      <c r="J185" s="36"/>
      <c r="K185" s="36"/>
      <c r="L185" s="36"/>
      <c r="M185" s="36"/>
      <c r="O185" s="8"/>
      <c r="P185" s="8"/>
    </row>
    <row r="186" spans="1:16" ht="12.75">
      <c r="A186" s="45" t="s">
        <v>39</v>
      </c>
      <c r="B186" s="20"/>
      <c r="C186" s="36">
        <f>SUM(C180:C185)/5</f>
        <v>4966.3176</v>
      </c>
      <c r="D186" s="36">
        <f>SUM(D180:D185)/5</f>
        <v>111.13879999999999</v>
      </c>
      <c r="E186" s="36">
        <f>SUM(E180:E185)/5</f>
        <v>5077.4564</v>
      </c>
      <c r="F186" s="36">
        <f>SUM(F180:F185)/5</f>
        <v>17710.4732</v>
      </c>
      <c r="H186" s="36"/>
      <c r="I186" s="36">
        <f>SUM(I180:I185)/5</f>
        <v>240.01100000000002</v>
      </c>
      <c r="J186" s="36"/>
      <c r="K186" s="36">
        <f>SUM(K180:K185)/5</f>
        <v>240.01100000000002</v>
      </c>
      <c r="L186" s="36">
        <f>SUM(L180:L185)/5</f>
        <v>9859.484400000001</v>
      </c>
      <c r="M186" s="36">
        <f>SUM(M180:M185)/5</f>
        <v>27569.9576</v>
      </c>
      <c r="O186" s="4">
        <f>F186/M186</f>
        <v>0.6423830408792504</v>
      </c>
      <c r="P186" s="4">
        <f>L186/M186</f>
        <v>0.35761695912074964</v>
      </c>
    </row>
    <row r="187" spans="1:16" ht="12.75">
      <c r="A187" s="45"/>
      <c r="B187" s="20"/>
      <c r="C187" s="36"/>
      <c r="D187" s="36"/>
      <c r="E187" s="36"/>
      <c r="F187" s="36"/>
      <c r="H187" s="36"/>
      <c r="I187" s="36"/>
      <c r="J187" s="36"/>
      <c r="K187" s="36"/>
      <c r="L187" s="36"/>
      <c r="M187" s="36"/>
      <c r="O187" s="8"/>
      <c r="P187" s="8"/>
    </row>
    <row r="188" spans="1:16" ht="12.75">
      <c r="A188" s="45">
        <v>1346</v>
      </c>
      <c r="B188" s="20"/>
      <c r="C188" s="34">
        <v>2228.384</v>
      </c>
      <c r="D188" s="34">
        <v>68.854</v>
      </c>
      <c r="E188" s="34">
        <f>C188+D188</f>
        <v>2297.238</v>
      </c>
      <c r="F188" s="34">
        <v>8046.58</v>
      </c>
      <c r="H188" s="36"/>
      <c r="I188" s="34">
        <v>214.237</v>
      </c>
      <c r="J188" s="34"/>
      <c r="K188" s="34">
        <f>I188+J188</f>
        <v>214.237</v>
      </c>
      <c r="L188" s="34">
        <v>8324.616</v>
      </c>
      <c r="M188" s="34">
        <f>F188+L188</f>
        <v>16371.196</v>
      </c>
      <c r="O188" s="4">
        <f>F188/M188</f>
        <v>0.4915083784959877</v>
      </c>
      <c r="P188" s="4">
        <f>L188/M188</f>
        <v>0.5084916215040123</v>
      </c>
    </row>
    <row r="189" spans="1:16" ht="12.75">
      <c r="A189" s="45">
        <v>1347</v>
      </c>
      <c r="B189" s="20"/>
      <c r="C189" s="34">
        <v>1327.067</v>
      </c>
      <c r="D189" s="34">
        <v>30.457</v>
      </c>
      <c r="E189" s="34">
        <f>C189+D189</f>
        <v>1357.5240000000001</v>
      </c>
      <c r="F189" s="34">
        <v>4829.07</v>
      </c>
      <c r="H189" s="36"/>
      <c r="I189" s="34">
        <v>909.829</v>
      </c>
      <c r="J189" s="34"/>
      <c r="K189" s="34">
        <f>I189+J189</f>
        <v>909.829</v>
      </c>
      <c r="L189" s="34">
        <f>40.2192605657823*I189</f>
        <v>36592.64962130514</v>
      </c>
      <c r="M189" s="34">
        <f>F189+L189</f>
        <v>41421.71962130514</v>
      </c>
      <c r="O189" s="4">
        <f>F189/M189</f>
        <v>0.11658304010913592</v>
      </c>
      <c r="P189" s="4">
        <f>L189/M189</f>
        <v>0.8834169598908641</v>
      </c>
    </row>
    <row r="190" spans="1:16" ht="12.75">
      <c r="A190" s="45">
        <v>1348</v>
      </c>
      <c r="B190" s="20"/>
      <c r="C190" s="34">
        <v>2369.235</v>
      </c>
      <c r="D190" s="34"/>
      <c r="E190" s="34">
        <f>C190+D190</f>
        <v>2369.235</v>
      </c>
      <c r="F190" s="34">
        <v>8460.15</v>
      </c>
      <c r="H190" s="36"/>
      <c r="I190" s="34">
        <v>1076.587</v>
      </c>
      <c r="J190" s="34"/>
      <c r="K190" s="34">
        <f>I190+J190</f>
        <v>1076.587</v>
      </c>
      <c r="L190" s="34">
        <f>40.2192605657823*I190</f>
        <v>43299.53307473387</v>
      </c>
      <c r="M190" s="34">
        <f>F190+L190</f>
        <v>51759.68307473387</v>
      </c>
      <c r="O190" s="4">
        <f>F190/M190</f>
        <v>0.1634505757654023</v>
      </c>
      <c r="P190" s="4">
        <f>L190/M190</f>
        <v>0.8365494242345977</v>
      </c>
    </row>
    <row r="191" spans="1:16" ht="12.75">
      <c r="A191" s="45">
        <v>1349</v>
      </c>
      <c r="B191" s="20"/>
      <c r="C191" s="34">
        <v>1745.573</v>
      </c>
      <c r="D191" s="34"/>
      <c r="E191" s="34">
        <f>C191+D191</f>
        <v>1745.573</v>
      </c>
      <c r="F191" s="34">
        <v>6269.5</v>
      </c>
      <c r="H191" s="36"/>
      <c r="I191" s="34">
        <v>549.947</v>
      </c>
      <c r="J191" s="34"/>
      <c r="K191" s="34">
        <f>I191+J191</f>
        <v>549.947</v>
      </c>
      <c r="L191" s="34">
        <f>40.2192605657823*I191</f>
        <v>22118.461690370277</v>
      </c>
      <c r="M191" s="34">
        <f>F191+L191</f>
        <v>28387.961690370277</v>
      </c>
      <c r="O191" s="4">
        <f>F191/M191</f>
        <v>0.22085065734489598</v>
      </c>
      <c r="P191" s="4">
        <f>L191/M191</f>
        <v>0.779149342655104</v>
      </c>
    </row>
    <row r="192" spans="1:16" ht="12.75">
      <c r="A192" s="45">
        <v>1350</v>
      </c>
      <c r="B192" s="20"/>
      <c r="C192" s="34">
        <v>2185.685</v>
      </c>
      <c r="D192" s="34"/>
      <c r="E192" s="34">
        <f>C192+D192</f>
        <v>2185.685</v>
      </c>
      <c r="F192" s="34">
        <v>7849.07</v>
      </c>
      <c r="H192" s="36"/>
      <c r="I192" s="34">
        <v>628.585</v>
      </c>
      <c r="J192" s="34"/>
      <c r="K192" s="34">
        <f>I192+J192</f>
        <v>628.585</v>
      </c>
      <c r="L192" s="34">
        <f>40.2192605657823*I192</f>
        <v>25281.22390274227</v>
      </c>
      <c r="M192" s="34">
        <f>F192+L192</f>
        <v>33130.29390274227</v>
      </c>
      <c r="O192" s="4">
        <f>F192/M192</f>
        <v>0.23691519378131187</v>
      </c>
      <c r="P192" s="4">
        <f>L192/M192</f>
        <v>0.7630848062186881</v>
      </c>
    </row>
    <row r="193" spans="1:16" ht="12.75">
      <c r="A193" s="45"/>
      <c r="B193" s="20"/>
      <c r="C193" s="36"/>
      <c r="D193" s="36"/>
      <c r="E193" s="36"/>
      <c r="F193" s="36"/>
      <c r="H193" s="36"/>
      <c r="I193" s="36"/>
      <c r="J193" s="36"/>
      <c r="K193" s="36"/>
      <c r="L193" s="36"/>
      <c r="M193" s="36"/>
      <c r="O193" s="8"/>
      <c r="P193" s="8"/>
    </row>
    <row r="194" spans="1:16" ht="12.75">
      <c r="A194" s="45" t="s">
        <v>44</v>
      </c>
      <c r="B194" s="20"/>
      <c r="C194" s="36">
        <f>SUM(C188:C193)/5</f>
        <v>1971.1888</v>
      </c>
      <c r="D194" s="36">
        <f>SUM(D188:D193)/5</f>
        <v>19.8622</v>
      </c>
      <c r="E194" s="36">
        <f>SUM(E188:E193)/5</f>
        <v>1991.051</v>
      </c>
      <c r="F194" s="36">
        <f>SUM(F188:F193)/5</f>
        <v>7090.873999999999</v>
      </c>
      <c r="H194" s="36"/>
      <c r="I194" s="36">
        <f>SUM(I188:I193)/5</f>
        <v>675.8370000000001</v>
      </c>
      <c r="J194" s="36"/>
      <c r="K194" s="36">
        <f>SUM(K188:K193)/5</f>
        <v>675.8370000000001</v>
      </c>
      <c r="L194" s="36">
        <f>SUM(L188:L193)/5</f>
        <v>27123.29685783031</v>
      </c>
      <c r="M194" s="36">
        <f>SUM(M188:M193)/5</f>
        <v>34214.17085783031</v>
      </c>
      <c r="O194" s="4">
        <f>F194/M194</f>
        <v>0.20724962266262753</v>
      </c>
      <c r="P194" s="4">
        <f>L194/M194</f>
        <v>0.7927503773373725</v>
      </c>
    </row>
    <row r="195" spans="1:16" ht="12.75">
      <c r="A195" s="45"/>
      <c r="B195" s="20"/>
      <c r="C195" s="36"/>
      <c r="D195" s="36"/>
      <c r="E195" s="36"/>
      <c r="F195" s="36"/>
      <c r="H195" s="36"/>
      <c r="I195" s="36"/>
      <c r="J195" s="36"/>
      <c r="K195" s="36"/>
      <c r="L195" s="36"/>
      <c r="M195" s="36"/>
      <c r="O195" s="8"/>
      <c r="P195" s="8"/>
    </row>
    <row r="196" spans="1:16" ht="12.75">
      <c r="A196" s="45">
        <v>1351</v>
      </c>
      <c r="B196" s="20"/>
      <c r="C196" s="34">
        <v>5786.309</v>
      </c>
      <c r="D196" s="34"/>
      <c r="E196" s="34">
        <f>C196+D196</f>
        <v>5786.309</v>
      </c>
      <c r="F196" s="34">
        <v>21754.81</v>
      </c>
      <c r="H196" s="36"/>
      <c r="I196" s="34">
        <v>1783.759</v>
      </c>
      <c r="J196" s="34"/>
      <c r="K196" s="34">
        <f>I196+J196</f>
        <v>1783.759</v>
      </c>
      <c r="L196" s="34">
        <v>76759.448</v>
      </c>
      <c r="M196" s="34">
        <f>F196+L196</f>
        <v>98514.258</v>
      </c>
      <c r="O196" s="4">
        <f>F196/M196</f>
        <v>0.2208290499432072</v>
      </c>
      <c r="P196" s="4">
        <f>L196/M196</f>
        <v>0.7791709500567928</v>
      </c>
    </row>
    <row r="197" spans="1:16" ht="12.75">
      <c r="A197" s="45">
        <v>1352</v>
      </c>
      <c r="B197" s="20"/>
      <c r="C197" s="34">
        <v>21023.793</v>
      </c>
      <c r="D197" s="34"/>
      <c r="E197" s="34">
        <f>C197+D197</f>
        <v>21023.793</v>
      </c>
      <c r="F197" s="34">
        <f>3.86194838323702*E197</f>
        <v>81192.80338585978</v>
      </c>
      <c r="H197" s="36"/>
      <c r="I197" s="34">
        <v>1968.75</v>
      </c>
      <c r="J197" s="34"/>
      <c r="K197" s="34">
        <f>I197+J197</f>
        <v>1968.75</v>
      </c>
      <c r="L197" s="34">
        <f>43.0920648919096*K197</f>
        <v>84837.50275594703</v>
      </c>
      <c r="M197" s="34">
        <f>F197+L197</f>
        <v>166030.30614180682</v>
      </c>
      <c r="O197" s="4">
        <f>F197/M197</f>
        <v>0.48902399370698524</v>
      </c>
      <c r="P197" s="4">
        <f>L197/M197</f>
        <v>0.5109760062930147</v>
      </c>
    </row>
    <row r="198" spans="1:16" ht="12.75">
      <c r="A198" s="45">
        <v>1353</v>
      </c>
      <c r="B198" s="20"/>
      <c r="C198" s="34">
        <v>25367.285</v>
      </c>
      <c r="D198" s="34">
        <v>880.071</v>
      </c>
      <c r="E198" s="34">
        <f>C198+D198</f>
        <v>26247.356</v>
      </c>
      <c r="F198" s="34">
        <f>3.86194838323702*E198</f>
        <v>101365.93406844648</v>
      </c>
      <c r="H198" s="36"/>
      <c r="I198" s="34">
        <v>994.321</v>
      </c>
      <c r="J198" s="34"/>
      <c r="K198" s="34">
        <f>I198+J198</f>
        <v>994.321</v>
      </c>
      <c r="L198" s="34">
        <f>43.0920648919096*K198</f>
        <v>42847.34505538845</v>
      </c>
      <c r="M198" s="34">
        <f>F198+L198</f>
        <v>144213.27912383492</v>
      </c>
      <c r="O198" s="4">
        <f>F198/M198</f>
        <v>0.7028890451995359</v>
      </c>
      <c r="P198" s="4">
        <f>L198/M198</f>
        <v>0.29711095480046423</v>
      </c>
    </row>
    <row r="199" spans="1:16" ht="12.75">
      <c r="A199" s="45">
        <v>1354</v>
      </c>
      <c r="B199" s="20"/>
      <c r="C199" s="34">
        <v>18451.686</v>
      </c>
      <c r="D199" s="34">
        <v>4224.347</v>
      </c>
      <c r="E199" s="34">
        <f>C199+D199</f>
        <v>22676.033000000003</v>
      </c>
      <c r="F199" s="34">
        <f>3.86194838323702*E199</f>
        <v>87573.66898257931</v>
      </c>
      <c r="H199" s="36"/>
      <c r="I199" s="34">
        <v>3297.389</v>
      </c>
      <c r="J199" s="34"/>
      <c r="K199" s="34">
        <f>I199+J199</f>
        <v>3297.389</v>
      </c>
      <c r="L199" s="34">
        <f>43.0920648919096*K199</f>
        <v>142091.30076186892</v>
      </c>
      <c r="M199" s="34">
        <f>F199+L199</f>
        <v>229664.96974444823</v>
      </c>
      <c r="O199" s="4">
        <f>F199/M199</f>
        <v>0.3813105197541614</v>
      </c>
      <c r="P199" s="4">
        <f>L199/M199</f>
        <v>0.6186894802458386</v>
      </c>
    </row>
    <row r="200" spans="1:16" ht="12.75">
      <c r="A200" s="45">
        <v>1355</v>
      </c>
      <c r="B200" s="20"/>
      <c r="C200" s="34">
        <v>9900.475</v>
      </c>
      <c r="D200" s="34">
        <v>1580.559</v>
      </c>
      <c r="E200" s="34">
        <f>C200+D200</f>
        <v>11481.034</v>
      </c>
      <c r="F200" s="34">
        <f>3.86194838323702*E200</f>
        <v>44339.16069418925</v>
      </c>
      <c r="H200" s="36"/>
      <c r="I200" s="34">
        <v>1654.668</v>
      </c>
      <c r="J200" s="34"/>
      <c r="K200" s="34">
        <f>I200+J200</f>
        <v>1654.668</v>
      </c>
      <c r="L200" s="34">
        <f>43.0920648919096*K200</f>
        <v>71303.06083056628</v>
      </c>
      <c r="M200" s="34">
        <f>F200+L200</f>
        <v>115642.22152475553</v>
      </c>
      <c r="O200" s="4">
        <f>F200/M200</f>
        <v>0.383416715016129</v>
      </c>
      <c r="P200" s="4">
        <f>L200/M200</f>
        <v>0.6165832849838709</v>
      </c>
    </row>
    <row r="201" spans="1:16" ht="12.75">
      <c r="A201" s="45"/>
      <c r="B201" s="20"/>
      <c r="C201" s="36"/>
      <c r="D201" s="36"/>
      <c r="E201" s="36"/>
      <c r="F201" s="36"/>
      <c r="H201" s="36"/>
      <c r="I201" s="36"/>
      <c r="J201" s="36"/>
      <c r="K201" s="36"/>
      <c r="L201" s="36"/>
      <c r="M201" s="36"/>
      <c r="O201" s="8"/>
      <c r="P201" s="8"/>
    </row>
    <row r="202" spans="1:16" ht="12.75">
      <c r="A202" s="45" t="s">
        <v>48</v>
      </c>
      <c r="B202" s="20"/>
      <c r="C202" s="36">
        <f>SUM(C196:C201)/5</f>
        <v>16105.909600000003</v>
      </c>
      <c r="D202" s="36">
        <f>SUM(D196:D201)/5</f>
        <v>1336.9954</v>
      </c>
      <c r="E202" s="36">
        <f>SUM(E196:E201)/5</f>
        <v>17442.905000000002</v>
      </c>
      <c r="F202" s="36">
        <f>SUM(F196:F201)/5</f>
        <v>67245.27542621497</v>
      </c>
      <c r="H202" s="36"/>
      <c r="I202" s="36">
        <f>SUM(I196:I201)/5</f>
        <v>1939.7774000000002</v>
      </c>
      <c r="J202" s="36"/>
      <c r="K202" s="36">
        <f>SUM(K196:K201)/5</f>
        <v>1939.7774000000002</v>
      </c>
      <c r="L202" s="36">
        <f>SUM(L196:L201)/5</f>
        <v>83567.73148075413</v>
      </c>
      <c r="M202" s="36">
        <f>SUM(M196:M201)/5</f>
        <v>150813.0069069691</v>
      </c>
      <c r="O202" s="4">
        <f>F202/M202</f>
        <v>0.44588511830213734</v>
      </c>
      <c r="P202" s="4">
        <f>L202/M202</f>
        <v>0.5541148816978627</v>
      </c>
    </row>
    <row r="203" spans="1:16" ht="12.75">
      <c r="A203" s="45"/>
      <c r="B203" s="20"/>
      <c r="C203" s="36"/>
      <c r="D203" s="36"/>
      <c r="E203" s="36"/>
      <c r="F203" s="36"/>
      <c r="H203" s="36"/>
      <c r="I203" s="36"/>
      <c r="J203" s="36"/>
      <c r="K203" s="36"/>
      <c r="L203" s="36"/>
      <c r="M203" s="36"/>
      <c r="O203" s="8"/>
      <c r="P203" s="8"/>
    </row>
    <row r="204" spans="1:16" ht="12.75">
      <c r="A204" s="45">
        <v>1356</v>
      </c>
      <c r="B204" s="20"/>
      <c r="C204" s="34">
        <v>9097.846</v>
      </c>
      <c r="D204" s="34"/>
      <c r="E204" s="34">
        <f>C204+D204</f>
        <v>9097.846</v>
      </c>
      <c r="F204" s="34">
        <f>3.86194838323702*E204</f>
        <v>35135.411650639384</v>
      </c>
      <c r="H204" s="36"/>
      <c r="I204" s="34">
        <v>482.003</v>
      </c>
      <c r="J204" s="34"/>
      <c r="K204" s="34">
        <f>I204+J204</f>
        <v>482.003</v>
      </c>
      <c r="L204" s="34">
        <f>43.0920648919096*K204</f>
        <v>20770.504554095103</v>
      </c>
      <c r="M204" s="34">
        <f>F204+L204</f>
        <v>55905.91620473449</v>
      </c>
      <c r="O204" s="4">
        <f>F204/M204</f>
        <v>0.6284739440092367</v>
      </c>
      <c r="P204" s="4">
        <f>L204/M204</f>
        <v>0.37152605599076327</v>
      </c>
    </row>
    <row r="205" spans="1:16" ht="12.75">
      <c r="A205" s="45">
        <v>1357</v>
      </c>
      <c r="B205" s="20"/>
      <c r="C205" s="34">
        <v>5538.972</v>
      </c>
      <c r="D205" s="34"/>
      <c r="E205" s="34">
        <f>C205+D205</f>
        <v>5538.972</v>
      </c>
      <c r="F205" s="34">
        <f>3.86194838323702*E205</f>
        <v>21391.223960195122</v>
      </c>
      <c r="H205" s="36"/>
      <c r="I205" s="34">
        <v>1814.69</v>
      </c>
      <c r="J205" s="34"/>
      <c r="K205" s="34">
        <f>I205+J205</f>
        <v>1814.69</v>
      </c>
      <c r="L205" s="34">
        <f>43.0920648919096*K205</f>
        <v>78198.73923869943</v>
      </c>
      <c r="M205" s="34">
        <f>F205+L205</f>
        <v>99589.96319889455</v>
      </c>
      <c r="O205" s="4">
        <f>F205/M205</f>
        <v>0.21479296982441867</v>
      </c>
      <c r="P205" s="4">
        <f>L205/M205</f>
        <v>0.7852070301755814</v>
      </c>
    </row>
    <row r="206" spans="1:16" ht="12.75">
      <c r="A206" s="45">
        <v>1358</v>
      </c>
      <c r="B206" s="20"/>
      <c r="C206" s="34">
        <v>3188.708</v>
      </c>
      <c r="D206" s="34"/>
      <c r="E206" s="34">
        <f>C206+D206</f>
        <v>3188.708</v>
      </c>
      <c r="F206" s="34">
        <f>3.86194838323702*E206</f>
        <v>12314.625705214952</v>
      </c>
      <c r="H206" s="36"/>
      <c r="I206" s="34">
        <v>2602.969</v>
      </c>
      <c r="J206" s="34"/>
      <c r="K206" s="34">
        <f>I206+J206</f>
        <v>2602.969</v>
      </c>
      <c r="L206" s="34">
        <f>43.0920648919096*K206</f>
        <v>112167.30905962904</v>
      </c>
      <c r="M206" s="34">
        <f>F206+L206</f>
        <v>124481.93476484399</v>
      </c>
      <c r="O206" s="4">
        <f>F206/M206</f>
        <v>0.09892701080263762</v>
      </c>
      <c r="P206" s="4">
        <f>L206/M206</f>
        <v>0.9010729891973625</v>
      </c>
    </row>
    <row r="207" spans="1:16" ht="12.75">
      <c r="A207" s="45">
        <v>1359</v>
      </c>
      <c r="B207" s="20"/>
      <c r="C207" s="34">
        <v>2698.803</v>
      </c>
      <c r="D207" s="34"/>
      <c r="E207" s="34">
        <f>C207+D207</f>
        <v>2698.803</v>
      </c>
      <c r="F207" s="34">
        <f>3.86194838323702*E207</f>
        <v>10422.637882525218</v>
      </c>
      <c r="H207" s="36"/>
      <c r="I207" s="34">
        <v>2273.936</v>
      </c>
      <c r="J207" s="34"/>
      <c r="K207" s="34">
        <f>I207+J207</f>
        <v>2273.936</v>
      </c>
      <c r="L207" s="34">
        <f>43.0920648919096*K207</f>
        <v>97988.59767204936</v>
      </c>
      <c r="M207" s="34">
        <f>F207+L207</f>
        <v>108411.23555457458</v>
      </c>
      <c r="O207" s="4">
        <f>F207/M207</f>
        <v>0.09613983116425628</v>
      </c>
      <c r="P207" s="4">
        <f>L207/M207</f>
        <v>0.9038601688357437</v>
      </c>
    </row>
    <row r="208" spans="1:16" ht="12.75">
      <c r="A208" s="45">
        <v>1360</v>
      </c>
      <c r="B208" s="20"/>
      <c r="C208" s="34">
        <v>1590.753</v>
      </c>
      <c r="D208" s="34"/>
      <c r="E208" s="34">
        <f>C208+D208</f>
        <v>1590.753</v>
      </c>
      <c r="F208" s="34">
        <f>3.86194838323702*E208</f>
        <v>6143.405976479438</v>
      </c>
      <c r="H208" s="36"/>
      <c r="I208" s="34">
        <v>1459.876</v>
      </c>
      <c r="J208" s="34"/>
      <c r="K208" s="34">
        <f>I208+J208</f>
        <v>1459.876</v>
      </c>
      <c r="L208" s="34">
        <f>43.0920648919096*K208</f>
        <v>62909.07132614142</v>
      </c>
      <c r="M208" s="34">
        <f>F208+L208</f>
        <v>69052.47730262086</v>
      </c>
      <c r="O208" s="4">
        <f>F208/M208</f>
        <v>0.08896720605049557</v>
      </c>
      <c r="P208" s="4">
        <f>L208/M208</f>
        <v>0.9110327939495044</v>
      </c>
    </row>
    <row r="209" spans="1:16" ht="12.75">
      <c r="A209" s="45"/>
      <c r="B209" s="20"/>
      <c r="C209" s="36"/>
      <c r="D209" s="36"/>
      <c r="E209" s="36"/>
      <c r="F209" s="36"/>
      <c r="H209" s="36"/>
      <c r="I209" s="36"/>
      <c r="J209" s="36"/>
      <c r="K209" s="36"/>
      <c r="L209" s="36"/>
      <c r="M209" s="36"/>
      <c r="O209" s="8"/>
      <c r="P209" s="8"/>
    </row>
    <row r="210" spans="1:16" ht="12.75">
      <c r="A210" s="45" t="s">
        <v>49</v>
      </c>
      <c r="B210" s="20"/>
      <c r="C210" s="36">
        <f>SUM(C204:C209)/5</f>
        <v>4423.0163999999995</v>
      </c>
      <c r="D210" s="36">
        <f>SUM(D204:D209)/5</f>
        <v>0</v>
      </c>
      <c r="E210" s="36">
        <f>SUM(E204:E209)/5</f>
        <v>4423.0163999999995</v>
      </c>
      <c r="F210" s="36">
        <f>SUM(F204:F209)/5</f>
        <v>17081.461035010823</v>
      </c>
      <c r="H210" s="36"/>
      <c r="I210" s="36">
        <f>SUM(I204:I209)/5</f>
        <v>1726.6948</v>
      </c>
      <c r="J210" s="36"/>
      <c r="K210" s="36">
        <f>SUM(K204:K209)/5</f>
        <v>1726.6948</v>
      </c>
      <c r="L210" s="36">
        <f>SUM(L204:L209)/5</f>
        <v>74406.84437012287</v>
      </c>
      <c r="M210" s="36">
        <f>SUM(M204:M209)/5</f>
        <v>91488.30540513368</v>
      </c>
      <c r="O210" s="4">
        <f>F210/M210</f>
        <v>0.18670649717873483</v>
      </c>
      <c r="P210" s="4">
        <f>L210/M210</f>
        <v>0.8132935028212652</v>
      </c>
    </row>
    <row r="211" spans="1:16" ht="12.75">
      <c r="A211" s="45"/>
      <c r="B211" s="20"/>
      <c r="C211" s="36"/>
      <c r="D211" s="36"/>
      <c r="E211" s="36"/>
      <c r="F211" s="36"/>
      <c r="H211" s="36"/>
      <c r="I211" s="36"/>
      <c r="J211" s="36"/>
      <c r="K211" s="36"/>
      <c r="L211" s="36"/>
      <c r="M211" s="36"/>
      <c r="O211" s="8"/>
      <c r="P211" s="8"/>
    </row>
    <row r="212" spans="1:16" ht="12.75">
      <c r="A212" s="45">
        <v>1361</v>
      </c>
      <c r="B212" s="20"/>
      <c r="C212" s="34">
        <v>1558.737</v>
      </c>
      <c r="D212" s="34"/>
      <c r="E212" s="34">
        <f>C212+D212</f>
        <v>1558.737</v>
      </c>
      <c r="F212" s="34">
        <f>3.86194838323702*E212</f>
        <v>6019.761837041723</v>
      </c>
      <c r="H212" s="36"/>
      <c r="I212" s="34">
        <v>4823.84</v>
      </c>
      <c r="J212" s="34"/>
      <c r="K212" s="34">
        <f>I212+J212</f>
        <v>4823.84</v>
      </c>
      <c r="L212" s="34">
        <f>43.0920648919096*K212</f>
        <v>207869.22630818922</v>
      </c>
      <c r="M212" s="34">
        <f>F212+L212</f>
        <v>213888.98814523095</v>
      </c>
      <c r="O212" s="4">
        <f>F212/M212</f>
        <v>0.02814432799576524</v>
      </c>
      <c r="P212" s="4">
        <f>L212/M212</f>
        <v>0.9718556720042347</v>
      </c>
    </row>
    <row r="213" spans="1:16" ht="12.75">
      <c r="A213" s="45">
        <v>1362</v>
      </c>
      <c r="B213" s="20"/>
      <c r="C213" s="34">
        <v>3667.543</v>
      </c>
      <c r="D213" s="34"/>
      <c r="E213" s="34">
        <f>C213+D213</f>
        <v>3667.543</v>
      </c>
      <c r="F213" s="34">
        <f>3.86194838323702*E213</f>
        <v>14163.86175930225</v>
      </c>
      <c r="H213" s="36"/>
      <c r="I213" s="34">
        <v>3043.278</v>
      </c>
      <c r="J213" s="34"/>
      <c r="K213" s="34">
        <f>I213+J213</f>
        <v>3043.278</v>
      </c>
      <c r="L213" s="34">
        <f>43.0920648919096*K213</f>
        <v>131141.13306012086</v>
      </c>
      <c r="M213" s="34">
        <f>F213+L213</f>
        <v>145304.99481942313</v>
      </c>
      <c r="O213" s="4">
        <f>F213/M213</f>
        <v>0.09747677137254848</v>
      </c>
      <c r="P213" s="4">
        <f>L213/M213</f>
        <v>0.9025232286274514</v>
      </c>
    </row>
    <row r="214" spans="1:16" ht="12.75">
      <c r="A214" s="45">
        <v>1363</v>
      </c>
      <c r="B214" s="20"/>
      <c r="C214" s="34">
        <v>815.107</v>
      </c>
      <c r="D214" s="34">
        <v>465.121</v>
      </c>
      <c r="E214" s="34">
        <f>C214+D214</f>
        <v>1280.228</v>
      </c>
      <c r="F214" s="34">
        <f>3.86194838323702*E214</f>
        <v>4944.174454774764</v>
      </c>
      <c r="H214" s="36"/>
      <c r="I214" s="34">
        <v>875.94</v>
      </c>
      <c r="J214" s="34">
        <v>654.793</v>
      </c>
      <c r="K214" s="34">
        <f>I214+J214</f>
        <v>1530.7330000000002</v>
      </c>
      <c r="L214" s="34">
        <f>43.0920648919096*K214</f>
        <v>65962.44576818746</v>
      </c>
      <c r="M214" s="34">
        <f>F214+L214</f>
        <v>70906.62022296223</v>
      </c>
      <c r="O214" s="4">
        <f>F214/M214</f>
        <v>0.06972796671492819</v>
      </c>
      <c r="P214" s="4">
        <f>L214/M214</f>
        <v>0.9302720332850718</v>
      </c>
    </row>
    <row r="215" spans="1:16" ht="12.75">
      <c r="A215" s="45">
        <v>1364</v>
      </c>
      <c r="B215" s="20"/>
      <c r="C215" s="34">
        <v>735.283</v>
      </c>
      <c r="D215" s="34">
        <v>461.244</v>
      </c>
      <c r="E215" s="34">
        <f>C215+D215</f>
        <v>1196.527</v>
      </c>
      <c r="F215" s="34">
        <f>3.86194838323702*E215</f>
        <v>4620.925513149442</v>
      </c>
      <c r="H215" s="36"/>
      <c r="I215" s="34">
        <v>475.437</v>
      </c>
      <c r="J215" s="34">
        <v>684.549</v>
      </c>
      <c r="K215" s="34">
        <f>I215+J215</f>
        <v>1159.9859999999999</v>
      </c>
      <c r="L215" s="34">
        <f>43.0920648919096*K215</f>
        <v>49986.191985706646</v>
      </c>
      <c r="M215" s="34">
        <f>F215+L215</f>
        <v>54607.11749885609</v>
      </c>
      <c r="O215" s="4">
        <f>F215/M215</f>
        <v>0.08462130441597181</v>
      </c>
      <c r="P215" s="4">
        <f>L215/M215</f>
        <v>0.9153786955840282</v>
      </c>
    </row>
    <row r="216" spans="1:16" ht="12.75">
      <c r="A216" s="45">
        <v>1365</v>
      </c>
      <c r="B216" s="20"/>
      <c r="C216" s="34">
        <v>384.508</v>
      </c>
      <c r="D216" s="34">
        <v>66.511</v>
      </c>
      <c r="E216" s="34">
        <f>C216+D216</f>
        <v>451.019</v>
      </c>
      <c r="F216" s="34">
        <f>3.86194838323702*E216</f>
        <v>1741.8120978591774</v>
      </c>
      <c r="H216" s="36"/>
      <c r="I216" s="34">
        <v>363.333</v>
      </c>
      <c r="J216" s="34">
        <v>1155.039</v>
      </c>
      <c r="K216" s="34">
        <f>I216+J216</f>
        <v>1518.372</v>
      </c>
      <c r="L216" s="34">
        <f>43.0920648919096*K216</f>
        <v>65429.784754058564</v>
      </c>
      <c r="M216" s="34">
        <f>F216+L216</f>
        <v>67171.59685191774</v>
      </c>
      <c r="O216" s="4">
        <f>F216/M216</f>
        <v>0.025930782942365747</v>
      </c>
      <c r="P216" s="4">
        <f>L216/M216</f>
        <v>0.9740692170576343</v>
      </c>
    </row>
    <row r="217" spans="1:16" ht="12.75">
      <c r="A217" s="45"/>
      <c r="B217" s="20"/>
      <c r="C217" s="36"/>
      <c r="D217" s="36"/>
      <c r="E217" s="36"/>
      <c r="F217" s="36"/>
      <c r="H217" s="36"/>
      <c r="I217" s="36"/>
      <c r="J217" s="36"/>
      <c r="K217" s="36"/>
      <c r="L217" s="36"/>
      <c r="M217" s="36"/>
      <c r="O217" s="8"/>
      <c r="P217" s="8"/>
    </row>
    <row r="218" spans="1:16" ht="12.75">
      <c r="A218" s="45" t="s">
        <v>50</v>
      </c>
      <c r="B218" s="20"/>
      <c r="C218" s="36">
        <f>SUM(C212:C217)/5</f>
        <v>1432.2356000000002</v>
      </c>
      <c r="D218" s="36">
        <f>SUM(D212:D217)/5</f>
        <v>198.5752</v>
      </c>
      <c r="E218" s="36">
        <f>SUM(E212:E217)/5</f>
        <v>1630.8108000000002</v>
      </c>
      <c r="F218" s="36">
        <f>SUM(F212:F217)/5</f>
        <v>6298.107132425471</v>
      </c>
      <c r="H218" s="36"/>
      <c r="I218" s="36">
        <f>SUM(I212:I217)/5</f>
        <v>1916.3656000000003</v>
      </c>
      <c r="J218" s="36">
        <f>SUM(J212:J217)/5</f>
        <v>498.87620000000004</v>
      </c>
      <c r="K218" s="36">
        <f>SUM(K212:K217)/5</f>
        <v>2415.2418</v>
      </c>
      <c r="L218" s="36">
        <f>SUM(L212:L217)/5</f>
        <v>104077.75637525255</v>
      </c>
      <c r="M218" s="36">
        <f>SUM(M212:M217)/5</f>
        <v>110375.86350767803</v>
      </c>
      <c r="O218" s="4">
        <f>F218/M218</f>
        <v>0.057060546864825736</v>
      </c>
      <c r="P218" s="4">
        <f>L218/M218</f>
        <v>0.9429394531351741</v>
      </c>
    </row>
    <row r="219" spans="1:16" ht="12.75">
      <c r="A219" s="45"/>
      <c r="B219" s="20"/>
      <c r="C219" s="36"/>
      <c r="D219" s="36"/>
      <c r="E219" s="36"/>
      <c r="F219" s="36"/>
      <c r="H219" s="36"/>
      <c r="I219" s="36"/>
      <c r="J219" s="36"/>
      <c r="K219" s="36"/>
      <c r="L219" s="36"/>
      <c r="M219" s="36"/>
      <c r="O219" s="8"/>
      <c r="P219" s="8"/>
    </row>
    <row r="220" spans="1:16" ht="12.75">
      <c r="A220" s="45">
        <v>1366</v>
      </c>
      <c r="B220" s="20"/>
      <c r="C220" s="34">
        <v>0</v>
      </c>
      <c r="D220" s="34">
        <v>0</v>
      </c>
      <c r="E220" s="34">
        <f>C220+D220</f>
        <v>0</v>
      </c>
      <c r="F220" s="34">
        <f>3.86194838323702*E220</f>
        <v>0</v>
      </c>
      <c r="H220" s="36"/>
      <c r="I220" s="34">
        <v>383.347</v>
      </c>
      <c r="J220" s="34">
        <v>1827.667</v>
      </c>
      <c r="K220" s="34">
        <f>I220+J220</f>
        <v>2211.014</v>
      </c>
      <c r="L220" s="34">
        <f>43.0920648919096*K220</f>
        <v>95277.15876492062</v>
      </c>
      <c r="M220" s="34">
        <f>F220+L220</f>
        <v>95277.15876492062</v>
      </c>
      <c r="O220" s="4">
        <f>F220/M220</f>
        <v>0</v>
      </c>
      <c r="P220" s="4">
        <f>L220/M220</f>
        <v>1</v>
      </c>
    </row>
    <row r="221" spans="1:16" ht="12.75">
      <c r="A221" s="45">
        <v>1367</v>
      </c>
      <c r="B221" s="20"/>
      <c r="C221" s="34">
        <v>0</v>
      </c>
      <c r="D221" s="34">
        <v>0</v>
      </c>
      <c r="E221" s="34">
        <f>C221+D221</f>
        <v>0</v>
      </c>
      <c r="F221" s="34">
        <f>3.86194838323702*E221</f>
        <v>0</v>
      </c>
      <c r="H221" s="36"/>
      <c r="I221" s="34">
        <v>257.953</v>
      </c>
      <c r="J221" s="34">
        <v>1367.881</v>
      </c>
      <c r="K221" s="34">
        <f>I221+J221</f>
        <v>1625.834</v>
      </c>
      <c r="L221" s="34">
        <f>43.0920648919096*K221</f>
        <v>70060.54423147296</v>
      </c>
      <c r="M221" s="34">
        <f>F221+L221</f>
        <v>70060.54423147296</v>
      </c>
      <c r="O221" s="4">
        <f>F221/M221</f>
        <v>0</v>
      </c>
      <c r="P221" s="4">
        <f>L221/M221</f>
        <v>1</v>
      </c>
    </row>
    <row r="222" spans="1:16" ht="12.75">
      <c r="A222" s="45">
        <v>1368</v>
      </c>
      <c r="B222" s="20"/>
      <c r="C222" s="34">
        <v>568.039</v>
      </c>
      <c r="D222" s="34"/>
      <c r="E222" s="34">
        <f>C222+D222</f>
        <v>568.039</v>
      </c>
      <c r="F222" s="34">
        <f>3.86194838323702*E222</f>
        <v>2193.7372976655734</v>
      </c>
      <c r="H222" s="36"/>
      <c r="I222" s="34">
        <v>584.865</v>
      </c>
      <c r="J222" s="34">
        <v>906.299</v>
      </c>
      <c r="K222" s="34">
        <f>I222+J222</f>
        <v>1491.164</v>
      </c>
      <c r="L222" s="34">
        <f>43.0920648919096*K222</f>
        <v>64257.33585247949</v>
      </c>
      <c r="M222" s="34">
        <f>F222+L222</f>
        <v>66451.07315014506</v>
      </c>
      <c r="O222" s="4">
        <f>F222/M222</f>
        <v>0.03301281971336808</v>
      </c>
      <c r="P222" s="4">
        <f>L222/M222</f>
        <v>0.9669871802866319</v>
      </c>
    </row>
    <row r="223" spans="1:16" ht="12.75">
      <c r="A223" s="45">
        <v>1369</v>
      </c>
      <c r="B223" s="20"/>
      <c r="C223" s="34">
        <v>397.354</v>
      </c>
      <c r="D223" s="34"/>
      <c r="E223" s="34">
        <f>C223+D223</f>
        <v>397.354</v>
      </c>
      <c r="F223" s="34">
        <f>3.86194838323702*E223</f>
        <v>1534.5606378727628</v>
      </c>
      <c r="H223" s="36"/>
      <c r="I223" s="34">
        <v>1687.442</v>
      </c>
      <c r="J223" s="34">
        <v>557.192</v>
      </c>
      <c r="K223" s="34">
        <f>I223+J223</f>
        <v>2244.634</v>
      </c>
      <c r="L223" s="34">
        <f>43.0920648919096*K223</f>
        <v>96725.91398658662</v>
      </c>
      <c r="M223" s="34">
        <f>F223+L223</f>
        <v>98260.47462445938</v>
      </c>
      <c r="O223" s="4">
        <f>F223/M223</f>
        <v>0.015617272802087339</v>
      </c>
      <c r="P223" s="4">
        <f>L223/M223</f>
        <v>0.9843827271979126</v>
      </c>
    </row>
    <row r="224" spans="1:16" ht="12.75">
      <c r="A224" s="45">
        <v>1370</v>
      </c>
      <c r="B224" s="20"/>
      <c r="C224" s="34">
        <v>503.719</v>
      </c>
      <c r="D224" s="34"/>
      <c r="E224" s="34">
        <f>C224+D224</f>
        <v>503.719</v>
      </c>
      <c r="F224" s="34">
        <f>3.86194838323702*E224</f>
        <v>1945.3367776557684</v>
      </c>
      <c r="H224" s="36"/>
      <c r="I224" s="34">
        <v>515.298</v>
      </c>
      <c r="J224" s="34">
        <v>557.192</v>
      </c>
      <c r="K224" s="34">
        <f>I224+J224</f>
        <v>1072.49</v>
      </c>
      <c r="L224" s="34">
        <f>43.0920648919096*K224</f>
        <v>46215.80867592413</v>
      </c>
      <c r="M224" s="34">
        <f>F224+L224</f>
        <v>48161.1454535799</v>
      </c>
      <c r="O224" s="4">
        <f>F224/M224</f>
        <v>0.04039224481342082</v>
      </c>
      <c r="P224" s="4">
        <f>L224/M224</f>
        <v>0.9596077551865791</v>
      </c>
    </row>
    <row r="225" spans="1:16" ht="12.75">
      <c r="A225" s="45"/>
      <c r="B225" s="20"/>
      <c r="C225" s="36"/>
      <c r="D225" s="36"/>
      <c r="E225" s="36"/>
      <c r="F225" s="36"/>
      <c r="H225" s="36"/>
      <c r="I225" s="36"/>
      <c r="J225" s="36"/>
      <c r="K225" s="36"/>
      <c r="L225" s="36"/>
      <c r="M225" s="36"/>
      <c r="O225" s="8"/>
      <c r="P225" s="8"/>
    </row>
    <row r="226" spans="1:16" ht="12.75">
      <c r="A226" s="45" t="s">
        <v>51</v>
      </c>
      <c r="B226" s="20"/>
      <c r="C226" s="36">
        <f>SUM(C220:C225)/5</f>
        <v>293.8224</v>
      </c>
      <c r="D226" s="36">
        <f>SUM(D220:D225)/5</f>
        <v>0</v>
      </c>
      <c r="E226" s="36">
        <f>SUM(E220:E225)/5</f>
        <v>293.8224</v>
      </c>
      <c r="F226" s="36">
        <f>SUM(F220:F225)/5</f>
        <v>1134.7269426388207</v>
      </c>
      <c r="H226" s="36"/>
      <c r="I226" s="36">
        <f>SUM(I220:I225)/5</f>
        <v>685.781</v>
      </c>
      <c r="J226" s="36">
        <f>SUM(J220:J225)/5</f>
        <v>1043.2462</v>
      </c>
      <c r="K226" s="36">
        <f>SUM(K220:K225)/5</f>
        <v>1729.0272</v>
      </c>
      <c r="L226" s="36">
        <f>SUM(L220:L225)/5</f>
        <v>74507.35230227676</v>
      </c>
      <c r="M226" s="36">
        <f>SUM(M220:M225)/5</f>
        <v>75642.07924491559</v>
      </c>
      <c r="O226" s="4">
        <f>F226/M226</f>
        <v>0.015001265882244945</v>
      </c>
      <c r="P226" s="4">
        <f>L226/M226</f>
        <v>0.9849987341177551</v>
      </c>
    </row>
    <row r="227" spans="1:16" ht="12.75">
      <c r="A227" s="45"/>
      <c r="B227" s="20"/>
      <c r="C227" s="36"/>
      <c r="D227" s="36"/>
      <c r="E227" s="36"/>
      <c r="F227" s="36"/>
      <c r="H227" s="36"/>
      <c r="I227" s="36"/>
      <c r="J227" s="36"/>
      <c r="K227" s="36"/>
      <c r="L227" s="36"/>
      <c r="M227" s="36"/>
      <c r="O227" s="8"/>
      <c r="P227" s="8"/>
    </row>
    <row r="228" spans="1:16" ht="12.75">
      <c r="A228" s="45">
        <v>1371</v>
      </c>
      <c r="B228" s="20"/>
      <c r="C228" s="34">
        <v>207.363</v>
      </c>
      <c r="D228" s="34"/>
      <c r="E228" s="34">
        <f>C228+D228</f>
        <v>207.363</v>
      </c>
      <c r="F228" s="34">
        <f>3.86194838323702*E228</f>
        <v>800.8252025931781</v>
      </c>
      <c r="H228" s="36"/>
      <c r="I228" s="34">
        <v>358.448</v>
      </c>
      <c r="J228" s="34">
        <v>382.903</v>
      </c>
      <c r="K228" s="34">
        <f>I228+J228</f>
        <v>741.351</v>
      </c>
      <c r="L228" s="34">
        <f>43.0920648919096*K228</f>
        <v>31946.345399682075</v>
      </c>
      <c r="M228" s="34">
        <f>F228+L228</f>
        <v>32747.170602275255</v>
      </c>
      <c r="O228" s="4">
        <f>F228/M228</f>
        <v>0.024454790684650392</v>
      </c>
      <c r="P228" s="4">
        <f>L228/M228</f>
        <v>0.9755452093153496</v>
      </c>
    </row>
    <row r="229" spans="1:16" ht="12.75">
      <c r="A229" s="45">
        <v>1372</v>
      </c>
      <c r="B229" s="20"/>
      <c r="C229" s="34">
        <v>45.019</v>
      </c>
      <c r="D229" s="34"/>
      <c r="E229" s="34">
        <f>C229+D229</f>
        <v>45.019</v>
      </c>
      <c r="F229" s="34">
        <f>3.86194838323702*E229</f>
        <v>173.8610542649474</v>
      </c>
      <c r="H229" s="36"/>
      <c r="I229" s="34">
        <v>506.5</v>
      </c>
      <c r="J229" s="34">
        <v>774.177</v>
      </c>
      <c r="K229" s="34">
        <f>I229+J229</f>
        <v>1280.6770000000001</v>
      </c>
      <c r="L229" s="34">
        <f>43.0920648919096*K229</f>
        <v>55187.016389576114</v>
      </c>
      <c r="M229" s="34">
        <f>F229+L229</f>
        <v>55360.87744384106</v>
      </c>
      <c r="O229" s="4">
        <f>F229/M229</f>
        <v>0.003140503949586326</v>
      </c>
      <c r="P229" s="4">
        <f>L229/M229</f>
        <v>0.9968594960504137</v>
      </c>
    </row>
    <row r="230" spans="1:16" ht="12.75">
      <c r="A230" s="45">
        <v>1373</v>
      </c>
      <c r="B230" s="20"/>
      <c r="C230" s="34">
        <v>117.399</v>
      </c>
      <c r="D230" s="34"/>
      <c r="E230" s="34">
        <f>C230+D230</f>
        <v>117.399</v>
      </c>
      <c r="F230" s="34">
        <f>3.86194838323702*E230</f>
        <v>453.3888782436429</v>
      </c>
      <c r="H230" s="36"/>
      <c r="I230" s="34">
        <v>338.733</v>
      </c>
      <c r="J230" s="34">
        <v>791.766</v>
      </c>
      <c r="K230" s="34">
        <f>I230+J230</f>
        <v>1130.499</v>
      </c>
      <c r="L230" s="34">
        <f>43.0920648919096*K230</f>
        <v>48715.53626823891</v>
      </c>
      <c r="M230" s="34">
        <f>F230+L230</f>
        <v>49168.92514648255</v>
      </c>
      <c r="O230" s="4">
        <f>F230/M230</f>
        <v>0.009221045139647058</v>
      </c>
      <c r="P230" s="4">
        <f>L230/M230</f>
        <v>0.990778954860353</v>
      </c>
    </row>
    <row r="231" spans="1:16" ht="12.75">
      <c r="A231" s="45">
        <v>1374</v>
      </c>
      <c r="B231" s="20"/>
      <c r="C231" s="34">
        <v>120.616</v>
      </c>
      <c r="D231" s="34"/>
      <c r="E231" s="34">
        <f>C231+D231</f>
        <v>120.616</v>
      </c>
      <c r="F231" s="34">
        <f>3.86194838323702*E231</f>
        <v>465.8127661925164</v>
      </c>
      <c r="H231" s="36"/>
      <c r="I231" s="34">
        <v>223.753</v>
      </c>
      <c r="J231" s="34">
        <v>320.1</v>
      </c>
      <c r="K231" s="34">
        <f>I231+J231</f>
        <v>543.8530000000001</v>
      </c>
      <c r="L231" s="34">
        <f>43.0920648919096*K231</f>
        <v>23435.748767659716</v>
      </c>
      <c r="M231" s="34">
        <f>F231+L231</f>
        <v>23901.561533852233</v>
      </c>
      <c r="O231" s="4">
        <f>F231/M231</f>
        <v>0.019488800576178966</v>
      </c>
      <c r="P231" s="4">
        <f>L231/M231</f>
        <v>0.980511199423821</v>
      </c>
    </row>
    <row r="232" spans="1:16" ht="12.75">
      <c r="A232" s="45">
        <v>1375</v>
      </c>
      <c r="B232" s="20"/>
      <c r="C232" s="34">
        <v>1094.435</v>
      </c>
      <c r="D232" s="34"/>
      <c r="E232" s="34">
        <f>C232+D232</f>
        <v>1094.435</v>
      </c>
      <c r="F232" s="34">
        <f>3.86194838323702*E232</f>
        <v>4226.651478808008</v>
      </c>
      <c r="H232" s="36"/>
      <c r="I232" s="34">
        <v>244.292</v>
      </c>
      <c r="J232" s="34">
        <v>72.366</v>
      </c>
      <c r="K232" s="34">
        <f>I232+J232</f>
        <v>316.658</v>
      </c>
      <c r="L232" s="34">
        <f>43.0920648919096*K232</f>
        <v>13645.447084542311</v>
      </c>
      <c r="M232" s="34">
        <f>F232+L232</f>
        <v>17872.09856335032</v>
      </c>
      <c r="O232" s="4">
        <f>F232/M232</f>
        <v>0.23649441411852173</v>
      </c>
      <c r="P232" s="4">
        <f>L232/M232</f>
        <v>0.7635055858814783</v>
      </c>
    </row>
    <row r="233" spans="1:16" ht="12.75">
      <c r="A233" s="45"/>
      <c r="B233" s="20"/>
      <c r="C233" s="36"/>
      <c r="D233" s="36"/>
      <c r="E233" s="36"/>
      <c r="F233" s="36"/>
      <c r="H233" s="36"/>
      <c r="I233" s="36"/>
      <c r="J233" s="36"/>
      <c r="K233" s="36"/>
      <c r="L233" s="36"/>
      <c r="M233" s="36"/>
      <c r="O233" s="8"/>
      <c r="P233" s="8"/>
    </row>
    <row r="234" spans="1:16" ht="12.75">
      <c r="A234" s="45" t="s">
        <v>52</v>
      </c>
      <c r="B234" s="20"/>
      <c r="C234" s="36">
        <f>SUM(C228:C233)/5</f>
        <v>316.96639999999996</v>
      </c>
      <c r="D234" s="36">
        <f>SUM(D228:D233)/5</f>
        <v>0</v>
      </c>
      <c r="E234" s="36">
        <f>SUM(E228:E233)/5</f>
        <v>316.96639999999996</v>
      </c>
      <c r="F234" s="36">
        <f>SUM(F228:F233)/5</f>
        <v>1224.1078760204587</v>
      </c>
      <c r="H234" s="36"/>
      <c r="I234" s="36">
        <f>SUM(I228:I233)/5</f>
        <v>334.3452</v>
      </c>
      <c r="J234" s="36">
        <f>SUM(J228:J233)/5</f>
        <v>468.26239999999996</v>
      </c>
      <c r="K234" s="36">
        <f>SUM(K228:K233)/5</f>
        <v>802.6076</v>
      </c>
      <c r="L234" s="36">
        <f>SUM(L228:L233)/5</f>
        <v>34586.01878193983</v>
      </c>
      <c r="M234" s="36">
        <f>SUM(M228:M233)/5</f>
        <v>35810.12665796028</v>
      </c>
      <c r="O234" s="4">
        <f>F234/M234</f>
        <v>0.03418328808810147</v>
      </c>
      <c r="P234" s="4">
        <f>L234/M234</f>
        <v>0.9658167119118987</v>
      </c>
    </row>
    <row r="235" spans="1:16" ht="12.75">
      <c r="A235" s="45"/>
      <c r="B235" s="20"/>
      <c r="C235" s="36"/>
      <c r="D235" s="36"/>
      <c r="E235" s="36"/>
      <c r="F235" s="36"/>
      <c r="H235" s="36"/>
      <c r="I235" s="36"/>
      <c r="J235" s="36"/>
      <c r="K235" s="36"/>
      <c r="L235" s="36"/>
      <c r="M235" s="36"/>
      <c r="O235" s="8"/>
      <c r="P235" s="8"/>
    </row>
    <row r="236" spans="1:16" ht="12.75">
      <c r="A236" s="45">
        <v>1376</v>
      </c>
      <c r="B236" s="20"/>
      <c r="C236" s="34">
        <v>748.838</v>
      </c>
      <c r="D236" s="34"/>
      <c r="E236" s="34">
        <f>C236+D236</f>
        <v>748.838</v>
      </c>
      <c r="F236" s="34">
        <f>3.86194838323702*E236</f>
        <v>2891.9737034064433</v>
      </c>
      <c r="H236" s="36"/>
      <c r="I236" s="34">
        <v>143.574</v>
      </c>
      <c r="J236" s="34">
        <v>123.71</v>
      </c>
      <c r="K236" s="34">
        <f>I236+J236</f>
        <v>267.284</v>
      </c>
      <c r="L236" s="34">
        <f>43.0920648919096*K236</f>
        <v>11517.819472569165</v>
      </c>
      <c r="M236" s="34">
        <f>F236+L236</f>
        <v>14409.793175975608</v>
      </c>
      <c r="O236" s="4">
        <f>F236/M236</f>
        <v>0.20069501817888816</v>
      </c>
      <c r="P236" s="4">
        <f>L236/M236</f>
        <v>0.7993049818211118</v>
      </c>
    </row>
    <row r="237" spans="1:16" ht="12.75">
      <c r="A237" s="45">
        <v>1377</v>
      </c>
      <c r="B237" s="20"/>
      <c r="C237" s="34">
        <v>57.193</v>
      </c>
      <c r="D237" s="34"/>
      <c r="E237" s="34">
        <f>C237+D237</f>
        <v>57.193</v>
      </c>
      <c r="F237" s="34">
        <f>3.86194838323702*E237</f>
        <v>220.87641388247488</v>
      </c>
      <c r="H237" s="36"/>
      <c r="I237" s="34">
        <v>83.096</v>
      </c>
      <c r="J237" s="34">
        <v>124.941</v>
      </c>
      <c r="K237" s="34">
        <f>I237+J237</f>
        <v>208.037</v>
      </c>
      <c r="L237" s="34">
        <f>43.0920648919096*K237</f>
        <v>8964.743903918197</v>
      </c>
      <c r="M237" s="34">
        <f>F237+L237</f>
        <v>9185.620317800673</v>
      </c>
      <c r="O237" s="4">
        <f>F237/M237</f>
        <v>0.024045889797387105</v>
      </c>
      <c r="P237" s="4">
        <f>L237/M237</f>
        <v>0.9759541102026128</v>
      </c>
    </row>
    <row r="238" spans="1:16" ht="12.75">
      <c r="A238" s="45">
        <v>1378</v>
      </c>
      <c r="B238" s="20"/>
      <c r="C238" s="34">
        <v>326.153</v>
      </c>
      <c r="D238" s="34"/>
      <c r="E238" s="34">
        <f>C238+D238</f>
        <v>326.153</v>
      </c>
      <c r="F238" s="34">
        <f>3.86194838323702*E238</f>
        <v>1259.5860510379039</v>
      </c>
      <c r="H238" s="36"/>
      <c r="I238" s="34">
        <v>108.835</v>
      </c>
      <c r="J238" s="34">
        <v>124.941</v>
      </c>
      <c r="K238" s="34">
        <f>I238+J238</f>
        <v>233.776</v>
      </c>
      <c r="L238" s="34">
        <f>43.0920648919096*K238</f>
        <v>10073.89056217106</v>
      </c>
      <c r="M238" s="34">
        <f>F238+L238</f>
        <v>11333.476613208964</v>
      </c>
      <c r="O238" s="4">
        <f>F238/M238</f>
        <v>0.11113854062837866</v>
      </c>
      <c r="P238" s="4">
        <f>L238/M238</f>
        <v>0.8888614593716213</v>
      </c>
    </row>
    <row r="239" spans="1:16" ht="12.75">
      <c r="A239" s="45">
        <v>1379</v>
      </c>
      <c r="B239" s="20"/>
      <c r="C239" s="34">
        <v>326.153</v>
      </c>
      <c r="D239" s="34"/>
      <c r="E239" s="34">
        <f>C239+D239</f>
        <v>326.153</v>
      </c>
      <c r="F239" s="34">
        <f>3.86194838323702*E239</f>
        <v>1259.5860510379039</v>
      </c>
      <c r="H239" s="36"/>
      <c r="I239" s="34">
        <v>108.835</v>
      </c>
      <c r="J239" s="34">
        <v>124.941</v>
      </c>
      <c r="K239" s="34">
        <f>I239+J239</f>
        <v>233.776</v>
      </c>
      <c r="L239" s="34">
        <f>43.0920648919096*K239</f>
        <v>10073.89056217106</v>
      </c>
      <c r="M239" s="34">
        <f>F239+L239</f>
        <v>11333.476613208964</v>
      </c>
      <c r="O239" s="4">
        <f>F239/M239</f>
        <v>0.11113854062837866</v>
      </c>
      <c r="P239" s="4">
        <f>L239/M239</f>
        <v>0.8888614593716213</v>
      </c>
    </row>
    <row r="240" spans="1:16" ht="12.75">
      <c r="A240" s="45">
        <v>1380</v>
      </c>
      <c r="B240" s="20"/>
      <c r="C240" s="34">
        <v>326.153</v>
      </c>
      <c r="D240" s="34"/>
      <c r="E240" s="34">
        <f>C240+D240</f>
        <v>326.153</v>
      </c>
      <c r="F240" s="34">
        <f>3.86194838323702*E240</f>
        <v>1259.5860510379039</v>
      </c>
      <c r="H240" s="36"/>
      <c r="I240" s="34">
        <v>108.835</v>
      </c>
      <c r="J240" s="34">
        <v>124.941</v>
      </c>
      <c r="K240" s="34">
        <f>I240+J240</f>
        <v>233.776</v>
      </c>
      <c r="L240" s="34">
        <f>43.0920648919096*K240</f>
        <v>10073.89056217106</v>
      </c>
      <c r="M240" s="34">
        <f>F240+L240</f>
        <v>11333.476613208964</v>
      </c>
      <c r="O240" s="4">
        <f>F240/M240</f>
        <v>0.11113854062837866</v>
      </c>
      <c r="P240" s="4">
        <f>L240/M240</f>
        <v>0.8888614593716213</v>
      </c>
    </row>
    <row r="241" spans="1:16" ht="12.75">
      <c r="A241" s="45"/>
      <c r="B241" s="20"/>
      <c r="C241" s="36"/>
      <c r="D241" s="36"/>
      <c r="E241" s="36"/>
      <c r="F241" s="36"/>
      <c r="H241" s="36"/>
      <c r="I241" s="36"/>
      <c r="J241" s="36"/>
      <c r="K241" s="36"/>
      <c r="L241" s="36"/>
      <c r="M241" s="36"/>
      <c r="O241" s="8"/>
      <c r="P241" s="8"/>
    </row>
    <row r="242" spans="1:16" ht="12.75">
      <c r="A242" s="45" t="s">
        <v>53</v>
      </c>
      <c r="B242" s="20"/>
      <c r="C242" s="36">
        <f>SUM(C236:C241)/5</f>
        <v>356.898</v>
      </c>
      <c r="D242" s="36">
        <f>SUM(D236:D241)/5</f>
        <v>0</v>
      </c>
      <c r="E242" s="36">
        <f>SUM(E236:E241)/5</f>
        <v>356.898</v>
      </c>
      <c r="F242" s="36">
        <f>SUM(F236:F241)/5</f>
        <v>1378.321654080526</v>
      </c>
      <c r="H242" s="36"/>
      <c r="I242" s="36">
        <f>SUM(I236:I241)/5</f>
        <v>110.63499999999999</v>
      </c>
      <c r="J242" s="36">
        <f>SUM(J236:J241)/5</f>
        <v>124.69480000000001</v>
      </c>
      <c r="K242" s="36">
        <f>SUM(K236:K241)/5</f>
        <v>235.32980000000003</v>
      </c>
      <c r="L242" s="36">
        <f>SUM(L236:L241)/5</f>
        <v>10140.847012600108</v>
      </c>
      <c r="M242" s="36">
        <f>SUM(M236:M241)/5</f>
        <v>11519.168666680634</v>
      </c>
      <c r="O242" s="4">
        <f>F242/M242</f>
        <v>0.11965461171406769</v>
      </c>
      <c r="P242" s="4">
        <f>L242/M242</f>
        <v>0.8803453882859323</v>
      </c>
    </row>
    <row r="243" spans="1:16" ht="12.75">
      <c r="A243" s="45"/>
      <c r="B243" s="20"/>
      <c r="C243" s="36"/>
      <c r="D243" s="36"/>
      <c r="E243" s="36"/>
      <c r="F243" s="36"/>
      <c r="H243" s="36"/>
      <c r="I243" s="36"/>
      <c r="J243" s="36"/>
      <c r="K243" s="36"/>
      <c r="L243" s="36"/>
      <c r="M243" s="36"/>
      <c r="O243" s="8"/>
      <c r="P243" s="8"/>
    </row>
    <row r="244" spans="1:16" ht="12.75">
      <c r="A244" s="45">
        <v>1381</v>
      </c>
      <c r="B244" s="20"/>
      <c r="C244" s="34">
        <v>326.153</v>
      </c>
      <c r="D244" s="34"/>
      <c r="E244" s="34">
        <f>C244+D244</f>
        <v>326.153</v>
      </c>
      <c r="F244" s="34">
        <f>3.86194838323702*E244</f>
        <v>1259.5860510379039</v>
      </c>
      <c r="H244" s="36"/>
      <c r="I244" s="34">
        <v>108.835</v>
      </c>
      <c r="J244" s="34">
        <v>78.384</v>
      </c>
      <c r="K244" s="34">
        <f>I244+J244</f>
        <v>187.219</v>
      </c>
      <c r="L244" s="34">
        <f>43.0920648919096*K244</f>
        <v>8067.653296998424</v>
      </c>
      <c r="M244" s="34">
        <f>F244+L244</f>
        <v>9327.239348036328</v>
      </c>
      <c r="O244" s="4">
        <f>F244/M244</f>
        <v>0.13504382208258497</v>
      </c>
      <c r="P244" s="4">
        <f>L244/M244</f>
        <v>0.864956177917415</v>
      </c>
    </row>
    <row r="245" spans="1:16" ht="12.75">
      <c r="A245" s="45">
        <v>1382</v>
      </c>
      <c r="B245" s="20"/>
      <c r="C245" s="34">
        <v>326.153</v>
      </c>
      <c r="D245" s="34"/>
      <c r="E245" s="34">
        <f>C245+D245</f>
        <v>326.153</v>
      </c>
      <c r="F245" s="34">
        <f>3.86194838323702*E245</f>
        <v>1259.5860510379039</v>
      </c>
      <c r="H245" s="36"/>
      <c r="I245" s="34">
        <v>108.835</v>
      </c>
      <c r="J245" s="34">
        <v>0.788</v>
      </c>
      <c r="K245" s="34">
        <f>I245+J245</f>
        <v>109.62299999999999</v>
      </c>
      <c r="L245" s="34">
        <f>43.0920648919096*K245</f>
        <v>4723.881429645806</v>
      </c>
      <c r="M245" s="34">
        <f>F245+L245</f>
        <v>5983.46748068371</v>
      </c>
      <c r="O245" s="4">
        <f>F245/M245</f>
        <v>0.21051105485309252</v>
      </c>
      <c r="P245" s="4">
        <f>L245/M245</f>
        <v>0.7894889451469074</v>
      </c>
    </row>
    <row r="246" spans="1:16" ht="12.75">
      <c r="A246" s="45">
        <v>1383</v>
      </c>
      <c r="B246" s="20"/>
      <c r="C246" s="34">
        <v>326.153</v>
      </c>
      <c r="D246" s="34"/>
      <c r="E246" s="34">
        <f>C246+D246</f>
        <v>326.153</v>
      </c>
      <c r="F246" s="34">
        <f>3.86194838323702*E246</f>
        <v>1259.5860510379039</v>
      </c>
      <c r="H246" s="36"/>
      <c r="I246" s="34">
        <v>108.835</v>
      </c>
      <c r="J246" s="34">
        <v>0.788</v>
      </c>
      <c r="K246" s="34">
        <f>I246+J246</f>
        <v>109.62299999999999</v>
      </c>
      <c r="L246" s="34">
        <f>43.0920648919096*K246</f>
        <v>4723.881429645806</v>
      </c>
      <c r="M246" s="34">
        <f>F246+L246</f>
        <v>5983.46748068371</v>
      </c>
      <c r="O246" s="4">
        <f>F246/M246</f>
        <v>0.21051105485309252</v>
      </c>
      <c r="P246" s="4">
        <f>L246/M246</f>
        <v>0.7894889451469074</v>
      </c>
    </row>
    <row r="247" spans="1:16" ht="12.75">
      <c r="A247" s="45">
        <v>1384</v>
      </c>
      <c r="B247" s="20"/>
      <c r="C247" s="34">
        <v>326.153</v>
      </c>
      <c r="D247" s="34"/>
      <c r="E247" s="34">
        <f>C247+D247</f>
        <v>326.153</v>
      </c>
      <c r="F247" s="34">
        <f>3.86194838323702*E247</f>
        <v>1259.5860510379039</v>
      </c>
      <c r="H247" s="36"/>
      <c r="I247" s="34">
        <v>136.682</v>
      </c>
      <c r="J247" s="34">
        <v>0.213</v>
      </c>
      <c r="K247" s="34">
        <f>I247+J247</f>
        <v>136.89499999999998</v>
      </c>
      <c r="L247" s="34">
        <f>43.0920648919096*K247</f>
        <v>5899.088223377964</v>
      </c>
      <c r="M247" s="34">
        <f>F247+L247</f>
        <v>7158.674274415867</v>
      </c>
      <c r="O247" s="4">
        <f>F247/M247</f>
        <v>0.17595241838834516</v>
      </c>
      <c r="P247" s="4">
        <f>L247/M247</f>
        <v>0.8240475816116549</v>
      </c>
    </row>
    <row r="248" spans="1:16" ht="12.75">
      <c r="A248" s="45">
        <v>1385</v>
      </c>
      <c r="B248" s="20"/>
      <c r="C248" s="34">
        <v>282.448</v>
      </c>
      <c r="D248" s="34"/>
      <c r="E248" s="34">
        <f>C248+D248</f>
        <v>282.448</v>
      </c>
      <c r="F248" s="34">
        <f>3.86194838323702*E248</f>
        <v>1090.7995969485296</v>
      </c>
      <c r="H248" s="36"/>
      <c r="I248" s="34">
        <v>265.815</v>
      </c>
      <c r="J248" s="34"/>
      <c r="K248" s="34">
        <f>I248+J248</f>
        <v>265.815</v>
      </c>
      <c r="L248" s="34">
        <f>43.0920648919096*K248</f>
        <v>11454.51722924295</v>
      </c>
      <c r="M248" s="34">
        <f>F248+L248</f>
        <v>12545.31682619148</v>
      </c>
      <c r="O248" s="4">
        <f>F248/M248</f>
        <v>0.08694874845019564</v>
      </c>
      <c r="P248" s="4">
        <f>L248/M248</f>
        <v>0.9130512515498044</v>
      </c>
    </row>
    <row r="249" spans="1:16" ht="12.75">
      <c r="A249" s="45"/>
      <c r="B249" s="20"/>
      <c r="C249" s="36"/>
      <c r="D249" s="36"/>
      <c r="E249" s="36"/>
      <c r="F249" s="36"/>
      <c r="H249" s="36"/>
      <c r="I249" s="36"/>
      <c r="J249" s="36"/>
      <c r="K249" s="36"/>
      <c r="L249" s="36"/>
      <c r="M249" s="36"/>
      <c r="O249" s="8"/>
      <c r="P249" s="8"/>
    </row>
    <row r="250" spans="1:16" ht="12.75">
      <c r="A250" s="45" t="s">
        <v>54</v>
      </c>
      <c r="B250" s="20"/>
      <c r="C250" s="36">
        <f>SUM(C244:C249)/5</f>
        <v>317.412</v>
      </c>
      <c r="D250" s="36">
        <f>SUM(D244:D249)/5</f>
        <v>0</v>
      </c>
      <c r="E250" s="36">
        <f>SUM(E244:E249)/5</f>
        <v>317.412</v>
      </c>
      <c r="F250" s="36">
        <f>SUM(F244:F249)/5</f>
        <v>1225.828760220029</v>
      </c>
      <c r="H250" s="36"/>
      <c r="I250" s="36">
        <f>SUM(I244:I249)/5</f>
        <v>145.8004</v>
      </c>
      <c r="J250" s="36">
        <f>SUM(J244:J249)/5</f>
        <v>16.034599999999998</v>
      </c>
      <c r="K250" s="36">
        <f>SUM(K244:K249)/5</f>
        <v>161.83499999999998</v>
      </c>
      <c r="L250" s="36">
        <f>SUM(L244:L249)/5</f>
        <v>6973.804321782189</v>
      </c>
      <c r="M250" s="36">
        <f>SUM(M244:M249)/5</f>
        <v>8199.633082002218</v>
      </c>
      <c r="O250" s="4">
        <f>F250/M250</f>
        <v>0.1494980016740824</v>
      </c>
      <c r="P250" s="4">
        <f>L250/M250</f>
        <v>0.8505019983259176</v>
      </c>
    </row>
    <row r="251" spans="1:16" ht="12.75">
      <c r="A251" s="45"/>
      <c r="B251" s="20"/>
      <c r="C251" s="36"/>
      <c r="D251" s="36"/>
      <c r="E251" s="36"/>
      <c r="F251" s="36"/>
      <c r="H251" s="36"/>
      <c r="I251" s="36"/>
      <c r="J251" s="36"/>
      <c r="K251" s="36"/>
      <c r="L251" s="36"/>
      <c r="M251" s="36"/>
      <c r="O251" s="8"/>
      <c r="P251" s="8"/>
    </row>
    <row r="252" spans="1:16" ht="12.75">
      <c r="A252" s="45">
        <v>1386</v>
      </c>
      <c r="B252" s="20"/>
      <c r="C252" s="34">
        <v>282.448</v>
      </c>
      <c r="D252" s="34"/>
      <c r="E252" s="34">
        <f>C252+D252</f>
        <v>282.448</v>
      </c>
      <c r="F252" s="34">
        <f>3.86194838323702*E252</f>
        <v>1090.7995969485296</v>
      </c>
      <c r="H252" s="36"/>
      <c r="I252" s="34">
        <v>265.815</v>
      </c>
      <c r="J252" s="34"/>
      <c r="K252" s="34">
        <f>I252+J252</f>
        <v>265.815</v>
      </c>
      <c r="L252" s="34">
        <f>43.0920648919096*K252</f>
        <v>11454.51722924295</v>
      </c>
      <c r="M252" s="34">
        <f>F252+L252</f>
        <v>12545.31682619148</v>
      </c>
      <c r="O252" s="4">
        <f>F252/M252</f>
        <v>0.08694874845019564</v>
      </c>
      <c r="P252" s="4">
        <f>L252/M252</f>
        <v>0.9130512515498044</v>
      </c>
    </row>
    <row r="253" spans="1:16" ht="12.75">
      <c r="A253" s="45">
        <v>1387</v>
      </c>
      <c r="B253" s="20"/>
      <c r="C253" s="34">
        <v>282.448</v>
      </c>
      <c r="D253" s="34"/>
      <c r="E253" s="34">
        <f>C253+D253</f>
        <v>282.448</v>
      </c>
      <c r="F253" s="34">
        <f>3.86194838323702*E253</f>
        <v>1090.7995969485296</v>
      </c>
      <c r="H253" s="36"/>
      <c r="I253" s="34">
        <v>265.815</v>
      </c>
      <c r="J253" s="34">
        <v>177.229</v>
      </c>
      <c r="K253" s="34">
        <f>I253+J253</f>
        <v>443.044</v>
      </c>
      <c r="L253" s="34">
        <f>43.0920648919096*K253</f>
        <v>19091.680797971196</v>
      </c>
      <c r="M253" s="34">
        <f>F253+L253</f>
        <v>20182.480394919727</v>
      </c>
      <c r="O253" s="4">
        <f>F253/M253</f>
        <v>0.05404685527270981</v>
      </c>
      <c r="P253" s="4">
        <f>L253/M253</f>
        <v>0.9459531447272901</v>
      </c>
    </row>
    <row r="254" spans="1:16" ht="12.75">
      <c r="A254" s="45">
        <v>1388</v>
      </c>
      <c r="B254" s="20"/>
      <c r="C254" s="34">
        <v>37.785</v>
      </c>
      <c r="D254" s="34"/>
      <c r="E254" s="34">
        <f>C254+D254</f>
        <v>37.785</v>
      </c>
      <c r="F254" s="34">
        <f>3.86194838323702*E254</f>
        <v>145.92371966061077</v>
      </c>
      <c r="H254" s="36"/>
      <c r="I254" s="34">
        <v>261.492</v>
      </c>
      <c r="J254" s="34">
        <v>251.686</v>
      </c>
      <c r="K254" s="34">
        <f>I254+J254</f>
        <v>513.178</v>
      </c>
      <c r="L254" s="34">
        <f>43.0920648919096*K254</f>
        <v>22113.899677100384</v>
      </c>
      <c r="M254" s="34">
        <f>F254+L254</f>
        <v>22259.823396760996</v>
      </c>
      <c r="O254" s="4">
        <f>F254/M254</f>
        <v>0.0065554751742479675</v>
      </c>
      <c r="P254" s="4">
        <f>L254/M254</f>
        <v>0.993444524825752</v>
      </c>
    </row>
    <row r="255" spans="1:16" ht="12.75">
      <c r="A255" s="45">
        <v>1389</v>
      </c>
      <c r="B255" s="20"/>
      <c r="C255" s="34">
        <v>53.982</v>
      </c>
      <c r="D255" s="34"/>
      <c r="E255" s="34">
        <f>C255+D255</f>
        <v>53.982</v>
      </c>
      <c r="F255" s="34">
        <f>3.86194838323702*E255</f>
        <v>208.4756976239008</v>
      </c>
      <c r="H255" s="36"/>
      <c r="I255" s="34">
        <v>373.56</v>
      </c>
      <c r="J255" s="34">
        <v>251.686</v>
      </c>
      <c r="K255" s="34">
        <f>I255+J255</f>
        <v>625.246</v>
      </c>
      <c r="L255" s="34">
        <f>43.0920648919096*K255</f>
        <v>26943.141205406908</v>
      </c>
      <c r="M255" s="34">
        <f>F255+L255</f>
        <v>27151.61690303081</v>
      </c>
      <c r="O255" s="4">
        <f>F255/M255</f>
        <v>0.007678205624676062</v>
      </c>
      <c r="P255" s="4">
        <f>L255/M255</f>
        <v>0.992321794375324</v>
      </c>
    </row>
    <row r="256" spans="1:16" ht="12.75">
      <c r="A256" s="45">
        <v>1390</v>
      </c>
      <c r="B256" s="20"/>
      <c r="C256" s="34">
        <v>580.908</v>
      </c>
      <c r="D256" s="34"/>
      <c r="E256" s="34">
        <f>C256+D256</f>
        <v>580.908</v>
      </c>
      <c r="F256" s="34">
        <f>3.86194838323702*E256</f>
        <v>2243.4367114094507</v>
      </c>
      <c r="H256" s="36"/>
      <c r="I256" s="34">
        <v>566.264</v>
      </c>
      <c r="J256" s="34">
        <v>110.506</v>
      </c>
      <c r="K256" s="34">
        <f>I256+J256</f>
        <v>676.77</v>
      </c>
      <c r="L256" s="34">
        <f>43.0920648919096*K256</f>
        <v>29163.41675689766</v>
      </c>
      <c r="M256" s="34">
        <f>F256+L256</f>
        <v>31406.85346830711</v>
      </c>
      <c r="O256" s="4">
        <f>F256/M256</f>
        <v>0.07143143816279843</v>
      </c>
      <c r="P256" s="4">
        <f>L256/M256</f>
        <v>0.9285685618372016</v>
      </c>
    </row>
    <row r="257" spans="1:16" ht="12.75">
      <c r="A257" s="45"/>
      <c r="B257" s="20"/>
      <c r="C257" s="36"/>
      <c r="D257" s="36"/>
      <c r="E257" s="36"/>
      <c r="F257" s="36"/>
      <c r="H257" s="36"/>
      <c r="I257" s="36"/>
      <c r="J257" s="36"/>
      <c r="K257" s="36"/>
      <c r="L257" s="36"/>
      <c r="M257" s="36"/>
      <c r="O257" s="8"/>
      <c r="P257" s="8"/>
    </row>
    <row r="258" spans="1:16" ht="12.75">
      <c r="A258" s="45" t="s">
        <v>55</v>
      </c>
      <c r="B258" s="20"/>
      <c r="C258" s="36">
        <f>SUM(C252:C257)/5</f>
        <v>247.5142</v>
      </c>
      <c r="D258" s="36">
        <f>SUM(D252:D257)/5</f>
        <v>0</v>
      </c>
      <c r="E258" s="36">
        <f>SUM(E252:E257)/5</f>
        <v>247.5142</v>
      </c>
      <c r="F258" s="36">
        <f>SUM(F252:F257)/5</f>
        <v>955.8870645182044</v>
      </c>
      <c r="H258" s="36"/>
      <c r="I258" s="36">
        <f>SUM(I252:I257)/5</f>
        <v>346.5892</v>
      </c>
      <c r="J258" s="36">
        <f>SUM(J252:J257)/5</f>
        <v>158.2214</v>
      </c>
      <c r="K258" s="36">
        <f>SUM(K252:K257)/5</f>
        <v>504.81059999999997</v>
      </c>
      <c r="L258" s="36">
        <f>SUM(L252:L257)/5</f>
        <v>21753.331133323816</v>
      </c>
      <c r="M258" s="36">
        <f>SUM(M252:M257)/5</f>
        <v>22709.218197842023</v>
      </c>
      <c r="O258" s="4">
        <f>F258/M258</f>
        <v>0.04209246906655021</v>
      </c>
      <c r="P258" s="4">
        <f>L258/M258</f>
        <v>0.9579075309334497</v>
      </c>
    </row>
    <row r="259" spans="1:16" ht="12.75">
      <c r="A259" s="45"/>
      <c r="B259" s="20"/>
      <c r="C259" s="36"/>
      <c r="D259" s="36"/>
      <c r="E259" s="36"/>
      <c r="F259" s="36"/>
      <c r="H259" s="36"/>
      <c r="I259" s="36"/>
      <c r="J259" s="36"/>
      <c r="K259" s="36"/>
      <c r="L259" s="36"/>
      <c r="M259" s="36"/>
      <c r="O259" s="8"/>
      <c r="P259" s="8"/>
    </row>
    <row r="260" spans="1:16" ht="12.75">
      <c r="A260" s="45">
        <v>1391</v>
      </c>
      <c r="B260" s="20"/>
      <c r="C260" s="34">
        <v>708.354</v>
      </c>
      <c r="D260" s="34"/>
      <c r="E260" s="34">
        <f>C260+D260</f>
        <v>708.354</v>
      </c>
      <c r="F260" s="34">
        <f>3.86194838323702*E260</f>
        <v>2735.626585059476</v>
      </c>
      <c r="H260" s="36"/>
      <c r="I260" s="34">
        <v>534.443</v>
      </c>
      <c r="J260" s="34">
        <v>51.194</v>
      </c>
      <c r="K260" s="34">
        <f>I260+J260</f>
        <v>585.637</v>
      </c>
      <c r="L260" s="34">
        <f>43.0920648919096*K260</f>
        <v>25236.30760710326</v>
      </c>
      <c r="M260" s="34">
        <f>F260+L260</f>
        <v>27971.934192162735</v>
      </c>
      <c r="O260" s="4">
        <f>F260/M260</f>
        <v>0.0977989782996827</v>
      </c>
      <c r="P260" s="4">
        <f>L260/M260</f>
        <v>0.9022010217003174</v>
      </c>
    </row>
    <row r="261" spans="1:16" ht="12.75">
      <c r="A261" s="45">
        <v>1392</v>
      </c>
      <c r="B261" s="20"/>
      <c r="C261" s="34">
        <v>89.132</v>
      </c>
      <c r="D261" s="34"/>
      <c r="E261" s="34">
        <f>C261+D261</f>
        <v>89.132</v>
      </c>
      <c r="F261" s="34">
        <f>3.86194838323702*E261</f>
        <v>344.2231832946821</v>
      </c>
      <c r="H261" s="36"/>
      <c r="I261" s="34">
        <v>495.022</v>
      </c>
      <c r="J261" s="34">
        <v>51.194</v>
      </c>
      <c r="K261" s="34">
        <f>I261+J261</f>
        <v>546.216</v>
      </c>
      <c r="L261" s="34">
        <f>43.0920648919096*K261</f>
        <v>23537.575316999297</v>
      </c>
      <c r="M261" s="34">
        <f>F261+L261</f>
        <v>23881.79850029398</v>
      </c>
      <c r="O261" s="4">
        <f>F261/M261</f>
        <v>0.014413620619504214</v>
      </c>
      <c r="P261" s="4">
        <f>L261/M261</f>
        <v>0.9855863793804958</v>
      </c>
    </row>
    <row r="262" spans="1:16" ht="12.75">
      <c r="A262" s="45">
        <v>1393</v>
      </c>
      <c r="B262" s="20"/>
      <c r="C262" s="34">
        <v>74.651</v>
      </c>
      <c r="D262" s="34"/>
      <c r="E262" s="34">
        <f>C262+D262</f>
        <v>74.651</v>
      </c>
      <c r="F262" s="34">
        <f>3.86194838323702*E262</f>
        <v>288.29830875702675</v>
      </c>
      <c r="H262" s="36"/>
      <c r="I262" s="34">
        <v>397.405</v>
      </c>
      <c r="J262" s="34">
        <v>377.653</v>
      </c>
      <c r="K262" s="34">
        <f>I262+J262</f>
        <v>775.058</v>
      </c>
      <c r="L262" s="34">
        <f>43.0920648919096*K262</f>
        <v>33398.849630993675</v>
      </c>
      <c r="M262" s="34">
        <f>F262+L262</f>
        <v>33687.1479397507</v>
      </c>
      <c r="O262" s="4">
        <f>F262/M262</f>
        <v>0.00855810973587455</v>
      </c>
      <c r="P262" s="4">
        <f>L262/M262</f>
        <v>0.9914418902641255</v>
      </c>
    </row>
    <row r="263" spans="1:16" ht="12.75">
      <c r="A263" s="45">
        <v>1394</v>
      </c>
      <c r="B263" s="20"/>
      <c r="C263" s="34">
        <v>47.654</v>
      </c>
      <c r="D263" s="34"/>
      <c r="E263" s="34">
        <f>C263+D263</f>
        <v>47.654</v>
      </c>
      <c r="F263" s="34">
        <f>3.86194838323702*E263</f>
        <v>184.03728825477697</v>
      </c>
      <c r="H263" s="36"/>
      <c r="I263" s="34">
        <v>314.53</v>
      </c>
      <c r="J263" s="34">
        <v>336.062</v>
      </c>
      <c r="K263" s="34">
        <f>I263+J263</f>
        <v>650.592</v>
      </c>
      <c r="L263" s="34">
        <f>43.0920648919096*K263</f>
        <v>28035.352682157252</v>
      </c>
      <c r="M263" s="34">
        <f>F263+L263</f>
        <v>28219.38997041203</v>
      </c>
      <c r="O263" s="4">
        <f>F263/M263</f>
        <v>0.006521660760482054</v>
      </c>
      <c r="P263" s="4">
        <f>L263/M263</f>
        <v>0.9934783392395179</v>
      </c>
    </row>
    <row r="264" spans="1:16" ht="12.75">
      <c r="A264" s="45">
        <v>1395</v>
      </c>
      <c r="B264" s="20"/>
      <c r="C264" s="34">
        <v>47.654</v>
      </c>
      <c r="D264" s="34"/>
      <c r="E264" s="34">
        <f>C264+D264</f>
        <v>47.654</v>
      </c>
      <c r="F264" s="34">
        <f>3.86194838323702*E264</f>
        <v>184.03728825477697</v>
      </c>
      <c r="H264" s="36"/>
      <c r="I264" s="34">
        <v>314.53</v>
      </c>
      <c r="J264" s="34">
        <v>260.696</v>
      </c>
      <c r="K264" s="34">
        <f>I264+J264</f>
        <v>575.226</v>
      </c>
      <c r="L264" s="34">
        <f>43.0920648919096*K264</f>
        <v>24787.67611951359</v>
      </c>
      <c r="M264" s="34">
        <f>F264+L264</f>
        <v>24971.71340776837</v>
      </c>
      <c r="O264" s="4">
        <f>F264/M264</f>
        <v>0.007369830225487267</v>
      </c>
      <c r="P264" s="4">
        <f>L264/M264</f>
        <v>0.9926301697745127</v>
      </c>
    </row>
    <row r="265" spans="1:16" ht="12.75">
      <c r="A265" s="45"/>
      <c r="B265" s="20"/>
      <c r="C265" s="36"/>
      <c r="D265" s="36"/>
      <c r="E265" s="36"/>
      <c r="F265" s="36"/>
      <c r="H265" s="36"/>
      <c r="I265" s="36"/>
      <c r="J265" s="36"/>
      <c r="K265" s="36"/>
      <c r="L265" s="36"/>
      <c r="M265" s="36"/>
      <c r="O265" s="8"/>
      <c r="P265" s="8"/>
    </row>
    <row r="266" spans="1:16" ht="12.75">
      <c r="A266" s="45" t="s">
        <v>56</v>
      </c>
      <c r="B266" s="20"/>
      <c r="C266" s="36">
        <f>SUM(C260:C265)/5</f>
        <v>193.489</v>
      </c>
      <c r="D266" s="36">
        <f>SUM(D260:D265)/5</f>
        <v>0</v>
      </c>
      <c r="E266" s="36">
        <f>SUM(E260:E265)/5</f>
        <v>193.489</v>
      </c>
      <c r="F266" s="36">
        <f>SUM(F260:F265)/5</f>
        <v>747.2445307241478</v>
      </c>
      <c r="H266" s="36"/>
      <c r="I266" s="36">
        <f>SUM(I260:I265)/5</f>
        <v>411.186</v>
      </c>
      <c r="J266" s="36">
        <f>SUM(J260:J265)/5</f>
        <v>215.3598</v>
      </c>
      <c r="K266" s="36">
        <f>SUM(K260:K265)/5</f>
        <v>626.5458000000001</v>
      </c>
      <c r="L266" s="36">
        <f>SUM(L260:L265)/5</f>
        <v>26999.152271353418</v>
      </c>
      <c r="M266" s="36">
        <f>SUM(M260:M265)/5</f>
        <v>27746.396802077557</v>
      </c>
      <c r="O266" s="4">
        <f>F266/M266</f>
        <v>0.02693122772136657</v>
      </c>
      <c r="P266" s="4">
        <f>L266/M266</f>
        <v>0.9730687722786338</v>
      </c>
    </row>
    <row r="267" spans="1:16" ht="12.75">
      <c r="A267" s="45"/>
      <c r="B267" s="20"/>
      <c r="C267" s="36"/>
      <c r="D267" s="36"/>
      <c r="E267" s="36"/>
      <c r="F267" s="36"/>
      <c r="H267" s="36"/>
      <c r="I267" s="36"/>
      <c r="J267" s="36"/>
      <c r="K267" s="36"/>
      <c r="L267" s="36"/>
      <c r="M267" s="36"/>
      <c r="O267" s="8"/>
      <c r="P267" s="8"/>
    </row>
    <row r="268" spans="1:16" ht="12.75">
      <c r="A268" s="45">
        <v>1396</v>
      </c>
      <c r="B268" s="20"/>
      <c r="C268" s="34">
        <v>54.827</v>
      </c>
      <c r="D268" s="34"/>
      <c r="E268" s="34">
        <f>C268+D268</f>
        <v>54.827</v>
      </c>
      <c r="F268" s="34">
        <f>3.86194838323702*E268</f>
        <v>211.73904400773608</v>
      </c>
      <c r="H268" s="36"/>
      <c r="I268" s="34">
        <v>186.825</v>
      </c>
      <c r="J268" s="34">
        <v>128.921</v>
      </c>
      <c r="K268" s="34">
        <f>I268+J268</f>
        <v>315.746</v>
      </c>
      <c r="L268" s="34">
        <f>43.0920648919096*K268</f>
        <v>13606.147121360887</v>
      </c>
      <c r="M268" s="34">
        <f>F268+L268</f>
        <v>13817.886165368624</v>
      </c>
      <c r="O268" s="4">
        <f>F268/M268</f>
        <v>0.015323548151555311</v>
      </c>
      <c r="P268" s="4">
        <f>L268/M268</f>
        <v>0.9846764518484447</v>
      </c>
    </row>
    <row r="269" spans="1:16" ht="12.75">
      <c r="A269" s="45">
        <v>1397</v>
      </c>
      <c r="B269" s="20"/>
      <c r="C269" s="34">
        <v>190.153</v>
      </c>
      <c r="D269" s="34"/>
      <c r="E269" s="34">
        <f>C269+D269</f>
        <v>190.153</v>
      </c>
      <c r="F269" s="34">
        <f>3.86194838323702*E269</f>
        <v>734.361070917669</v>
      </c>
      <c r="H269" s="36"/>
      <c r="I269" s="34">
        <v>398.578</v>
      </c>
      <c r="J269" s="34">
        <v>122.578</v>
      </c>
      <c r="K269" s="34">
        <f>I269+J269</f>
        <v>521.156</v>
      </c>
      <c r="L269" s="34">
        <f>43.0920648919096*K269</f>
        <v>22457.688170808036</v>
      </c>
      <c r="M269" s="34">
        <f>F269+L269</f>
        <v>23192.049241725705</v>
      </c>
      <c r="O269" s="4">
        <f>F269/M269</f>
        <v>0.03166434596889575</v>
      </c>
      <c r="P269" s="4">
        <f>L269/M269</f>
        <v>0.9683356540311043</v>
      </c>
    </row>
    <row r="270" spans="1:16" ht="12.75">
      <c r="A270" s="45">
        <v>1398</v>
      </c>
      <c r="B270" s="20"/>
      <c r="C270" s="34">
        <v>190.153</v>
      </c>
      <c r="D270" s="34"/>
      <c r="E270" s="34">
        <f>C270+D270</f>
        <v>190.153</v>
      </c>
      <c r="F270" s="34">
        <f>3.86194838323702*E270</f>
        <v>734.361070917669</v>
      </c>
      <c r="H270" s="36"/>
      <c r="I270" s="34">
        <v>398.578</v>
      </c>
      <c r="J270" s="34">
        <v>9.95</v>
      </c>
      <c r="K270" s="34">
        <f>I270+J270</f>
        <v>408.52799999999996</v>
      </c>
      <c r="L270" s="34">
        <f>43.0920648919096*K270</f>
        <v>17604.315086162045</v>
      </c>
      <c r="M270" s="34">
        <f>F270+L270</f>
        <v>18338.676157079713</v>
      </c>
      <c r="O270" s="4">
        <f>F270/M270</f>
        <v>0.040044388407729545</v>
      </c>
      <c r="P270" s="4">
        <f>L270/M270</f>
        <v>0.9599556115922705</v>
      </c>
    </row>
    <row r="271" spans="1:16" ht="12.75">
      <c r="A271" s="45">
        <v>1399</v>
      </c>
      <c r="B271" s="20"/>
      <c r="C271" s="34">
        <v>355.954</v>
      </c>
      <c r="D271" s="34"/>
      <c r="E271" s="34">
        <f>C271+D271</f>
        <v>355.954</v>
      </c>
      <c r="F271" s="34">
        <f>3.86194838323702*E271</f>
        <v>1374.6759748067502</v>
      </c>
      <c r="H271" s="36"/>
      <c r="I271" s="34">
        <v>370.61</v>
      </c>
      <c r="J271" s="34">
        <v>18.061</v>
      </c>
      <c r="K271" s="34">
        <f>I271+J271</f>
        <v>388.671</v>
      </c>
      <c r="L271" s="34">
        <f>43.0920648919096*K271</f>
        <v>16748.635953603396</v>
      </c>
      <c r="M271" s="34">
        <f>F271+L271</f>
        <v>18123.311928410145</v>
      </c>
      <c r="O271" s="4">
        <f>F271/M271</f>
        <v>0.07585125611902122</v>
      </c>
      <c r="P271" s="4">
        <f>L271/M271</f>
        <v>0.9241487438809789</v>
      </c>
    </row>
    <row r="272" spans="1:16" ht="12.75">
      <c r="A272" s="45">
        <v>1400</v>
      </c>
      <c r="B272" s="20"/>
      <c r="C272" s="34">
        <v>86.893</v>
      </c>
      <c r="D272" s="34"/>
      <c r="E272" s="34">
        <f>C272+D272</f>
        <v>86.893</v>
      </c>
      <c r="F272" s="34">
        <f>3.86194838323702*E272</f>
        <v>335.5762808646144</v>
      </c>
      <c r="H272" s="36"/>
      <c r="I272" s="34">
        <v>180.717</v>
      </c>
      <c r="J272" s="34">
        <v>140.895</v>
      </c>
      <c r="K272" s="34">
        <f>I272+J272</f>
        <v>321.612</v>
      </c>
      <c r="L272" s="34">
        <f>43.0920648919096*K272</f>
        <v>13858.925174016831</v>
      </c>
      <c r="M272" s="34">
        <f>F272+L272</f>
        <v>14194.501454881445</v>
      </c>
      <c r="O272" s="4">
        <f>F272/M272</f>
        <v>0.023641286869515995</v>
      </c>
      <c r="P272" s="4">
        <f>L272/M272</f>
        <v>0.9763587131304841</v>
      </c>
    </row>
    <row r="273" spans="1:16" ht="12.75">
      <c r="A273" s="45"/>
      <c r="B273" s="20"/>
      <c r="C273" s="36"/>
      <c r="D273" s="36"/>
      <c r="E273" s="36"/>
      <c r="F273" s="36"/>
      <c r="H273" s="36"/>
      <c r="I273" s="36"/>
      <c r="J273" s="36"/>
      <c r="K273" s="36"/>
      <c r="L273" s="36"/>
      <c r="M273" s="36"/>
      <c r="O273" s="8"/>
      <c r="P273" s="8"/>
    </row>
    <row r="274" spans="1:16" ht="12.75">
      <c r="A274" s="45" t="s">
        <v>57</v>
      </c>
      <c r="B274" s="20"/>
      <c r="C274" s="36">
        <f>SUM(C268:C273)/5</f>
        <v>175.596</v>
      </c>
      <c r="D274" s="36">
        <f>SUM(D268:D273)/5</f>
        <v>0</v>
      </c>
      <c r="E274" s="36">
        <f>SUM(E268:E273)/5</f>
        <v>175.596</v>
      </c>
      <c r="F274" s="36">
        <f>SUM(F268:F273)/5</f>
        <v>678.1426883028878</v>
      </c>
      <c r="H274" s="36"/>
      <c r="I274" s="36">
        <f>SUM(I268:I273)/5</f>
        <v>307.0616</v>
      </c>
      <c r="J274" s="36">
        <f>SUM(J268:J273)/5</f>
        <v>84.08099999999999</v>
      </c>
      <c r="K274" s="36">
        <f>SUM(K268:K273)/5</f>
        <v>391.1426</v>
      </c>
      <c r="L274" s="36">
        <f>SUM(L268:L273)/5</f>
        <v>16855.142301190237</v>
      </c>
      <c r="M274" s="36">
        <f>SUM(M268:M273)/5</f>
        <v>17533.284989493128</v>
      </c>
      <c r="O274" s="4">
        <f>F274/M274</f>
        <v>0.038677446280561044</v>
      </c>
      <c r="P274" s="4">
        <f>L274/M274</f>
        <v>0.9613225537194388</v>
      </c>
    </row>
    <row r="275" spans="1:16" ht="12.75">
      <c r="A275" s="45"/>
      <c r="B275" s="20"/>
      <c r="C275" s="36"/>
      <c r="D275" s="36"/>
      <c r="E275" s="36"/>
      <c r="F275" s="36"/>
      <c r="H275" s="36"/>
      <c r="I275" s="36"/>
      <c r="J275" s="36"/>
      <c r="K275" s="36"/>
      <c r="L275" s="36"/>
      <c r="M275" s="36"/>
      <c r="O275" s="8"/>
      <c r="P275" s="8"/>
    </row>
    <row r="276" spans="1:16" ht="12.75">
      <c r="A276" s="45">
        <v>1401</v>
      </c>
      <c r="B276" s="20"/>
      <c r="C276" s="34">
        <v>75.195</v>
      </c>
      <c r="D276" s="34"/>
      <c r="E276" s="34">
        <f>C276+D276</f>
        <v>75.195</v>
      </c>
      <c r="F276" s="34">
        <f>3.86194838323702*E276</f>
        <v>290.39920867750766</v>
      </c>
      <c r="H276" s="36"/>
      <c r="I276" s="34">
        <v>172.461</v>
      </c>
      <c r="J276" s="34">
        <v>140.895</v>
      </c>
      <c r="K276" s="34">
        <f>I276+J276</f>
        <v>313.356</v>
      </c>
      <c r="L276" s="34">
        <f>43.0920648919096*K276</f>
        <v>13503.157086269224</v>
      </c>
      <c r="M276" s="34">
        <f>F276+L276</f>
        <v>13793.556294946731</v>
      </c>
      <c r="O276" s="4">
        <f>F276/M276</f>
        <v>0.02105325142174505</v>
      </c>
      <c r="P276" s="4">
        <f>L276/M276</f>
        <v>0.978946748578255</v>
      </c>
    </row>
    <row r="277" spans="1:16" ht="12.75">
      <c r="A277" s="45">
        <v>1402</v>
      </c>
      <c r="B277" s="20"/>
      <c r="C277" s="34">
        <v>75.195</v>
      </c>
      <c r="D277" s="34"/>
      <c r="E277" s="34">
        <f>C277+D277</f>
        <v>75.195</v>
      </c>
      <c r="F277" s="34">
        <f>3.86194838323702*E277</f>
        <v>290.39920867750766</v>
      </c>
      <c r="H277" s="36"/>
      <c r="I277" s="34">
        <v>172.461</v>
      </c>
      <c r="J277" s="34">
        <v>40.188</v>
      </c>
      <c r="K277" s="34">
        <f>I277+J277</f>
        <v>212.649</v>
      </c>
      <c r="L277" s="34">
        <f>43.0920648919096*K277</f>
        <v>9163.484507199684</v>
      </c>
      <c r="M277" s="34">
        <f>F277+L277</f>
        <v>9453.883715877191</v>
      </c>
      <c r="O277" s="4">
        <f>F277/M277</f>
        <v>0.03071745088103853</v>
      </c>
      <c r="P277" s="4">
        <f>L277/M277</f>
        <v>0.9692825491189615</v>
      </c>
    </row>
    <row r="278" spans="1:16" ht="12.75">
      <c r="A278" s="45">
        <v>1403</v>
      </c>
      <c r="B278" s="20"/>
      <c r="C278" s="34">
        <v>41.802</v>
      </c>
      <c r="D278" s="34"/>
      <c r="E278" s="34">
        <f>C278+D278</f>
        <v>41.802</v>
      </c>
      <c r="F278" s="34">
        <f>3.86194838323702*E278</f>
        <v>161.4371663160739</v>
      </c>
      <c r="H278" s="36"/>
      <c r="I278" s="34">
        <v>103.955</v>
      </c>
      <c r="J278" s="34">
        <v>23.592</v>
      </c>
      <c r="K278" s="34">
        <f>I278+J278</f>
        <v>127.547</v>
      </c>
      <c r="L278" s="34">
        <f>43.0920648919096*K278</f>
        <v>5496.263600768394</v>
      </c>
      <c r="M278" s="34">
        <f>F278+L278</f>
        <v>5657.700767084468</v>
      </c>
      <c r="O278" s="4">
        <f>F278/M278</f>
        <v>0.028534058792095834</v>
      </c>
      <c r="P278" s="4">
        <f>L278/M278</f>
        <v>0.9714659412079042</v>
      </c>
    </row>
    <row r="279" spans="1:16" ht="12.75">
      <c r="A279" s="45">
        <v>1404</v>
      </c>
      <c r="B279" s="20"/>
      <c r="C279" s="34">
        <v>117.004</v>
      </c>
      <c r="D279" s="34"/>
      <c r="E279" s="34">
        <f>C279+D279</f>
        <v>117.004</v>
      </c>
      <c r="F279" s="34">
        <f>3.86194838323702*E279</f>
        <v>451.8634086322643</v>
      </c>
      <c r="H279" s="36"/>
      <c r="I279" s="34">
        <v>109.247</v>
      </c>
      <c r="J279" s="34">
        <v>3.497</v>
      </c>
      <c r="K279" s="34">
        <f>I279+J279</f>
        <v>112.744</v>
      </c>
      <c r="L279" s="34">
        <f>43.0920648919096*K279</f>
        <v>4858.371764173456</v>
      </c>
      <c r="M279" s="34">
        <f>F279+L279</f>
        <v>5310.23517280572</v>
      </c>
      <c r="O279" s="4">
        <f>F279/M279</f>
        <v>0.08509291847304709</v>
      </c>
      <c r="P279" s="4">
        <f>L279/M279</f>
        <v>0.9149070815269529</v>
      </c>
    </row>
    <row r="280" spans="1:16" ht="12.75">
      <c r="A280" s="45">
        <v>1405</v>
      </c>
      <c r="B280" s="20"/>
      <c r="C280" s="34">
        <v>22.522</v>
      </c>
      <c r="D280" s="34"/>
      <c r="E280" s="34">
        <f>C280+D280</f>
        <v>22.522</v>
      </c>
      <c r="F280" s="34">
        <f>3.86194838323702*E280</f>
        <v>86.97880148726415</v>
      </c>
      <c r="H280" s="36"/>
      <c r="I280" s="34">
        <v>77.06</v>
      </c>
      <c r="J280" s="34"/>
      <c r="K280" s="34">
        <f>I280+J280</f>
        <v>77.06</v>
      </c>
      <c r="L280" s="34">
        <f>43.0920648919096*K280</f>
        <v>3320.674520570554</v>
      </c>
      <c r="M280" s="34">
        <f>F280+L280</f>
        <v>3407.653322057818</v>
      </c>
      <c r="O280" s="4">
        <f>F280/M280</f>
        <v>0.02552454527115431</v>
      </c>
      <c r="P280" s="4">
        <f>L280/M280</f>
        <v>0.9744754547288457</v>
      </c>
    </row>
    <row r="281" spans="1:16" ht="12.75">
      <c r="A281" s="45"/>
      <c r="B281" s="20"/>
      <c r="C281" s="36"/>
      <c r="D281" s="36"/>
      <c r="E281" s="36"/>
      <c r="F281" s="36"/>
      <c r="H281" s="36"/>
      <c r="I281" s="36"/>
      <c r="J281" s="36"/>
      <c r="K281" s="36"/>
      <c r="L281" s="36"/>
      <c r="M281" s="36"/>
      <c r="O281" s="8"/>
      <c r="P281" s="8"/>
    </row>
    <row r="282" spans="1:16" ht="12.75">
      <c r="A282" s="45" t="s">
        <v>59</v>
      </c>
      <c r="B282" s="20"/>
      <c r="C282" s="36">
        <f>SUM(C276:C281)/5</f>
        <v>66.3436</v>
      </c>
      <c r="D282" s="36">
        <f>SUM(D276:D281)/5</f>
        <v>0</v>
      </c>
      <c r="E282" s="36">
        <f>SUM(E276:E281)/5</f>
        <v>66.3436</v>
      </c>
      <c r="F282" s="36">
        <f>SUM(F276:F281)/5</f>
        <v>256.21555875812356</v>
      </c>
      <c r="H282" s="36"/>
      <c r="I282" s="36">
        <f>SUM(I276:I281)/5</f>
        <v>127.0368</v>
      </c>
      <c r="J282" s="36">
        <f>SUM(J276:J281)/5</f>
        <v>41.63440000000001</v>
      </c>
      <c r="K282" s="36">
        <f>SUM(K276:K281)/5</f>
        <v>168.6712</v>
      </c>
      <c r="L282" s="36">
        <f>SUM(L276:L281)/5</f>
        <v>7268.390295796262</v>
      </c>
      <c r="M282" s="36">
        <f>SUM(M276:M281)/5</f>
        <v>7524.605854554386</v>
      </c>
      <c r="O282" s="4">
        <f>F282/M282</f>
        <v>0.034050362731364206</v>
      </c>
      <c r="P282" s="4">
        <f>L282/M282</f>
        <v>0.9659496372686358</v>
      </c>
    </row>
    <row r="283" spans="1:16" ht="12.75">
      <c r="A283" s="45"/>
      <c r="B283" s="20"/>
      <c r="C283" s="36"/>
      <c r="D283" s="36"/>
      <c r="E283" s="36"/>
      <c r="F283" s="36"/>
      <c r="H283" s="36"/>
      <c r="I283" s="36"/>
      <c r="J283" s="36"/>
      <c r="K283" s="36"/>
      <c r="L283" s="36"/>
      <c r="M283" s="36"/>
      <c r="O283" s="8"/>
      <c r="P283" s="8"/>
    </row>
    <row r="284" spans="1:16" ht="12.75">
      <c r="A284" s="45">
        <v>1406</v>
      </c>
      <c r="B284" s="20"/>
      <c r="C284" s="34">
        <v>26.258</v>
      </c>
      <c r="D284" s="34"/>
      <c r="E284" s="34">
        <f>C284+D284</f>
        <v>26.258</v>
      </c>
      <c r="F284" s="34">
        <f>3.86194838323702*E284</f>
        <v>101.40704064703766</v>
      </c>
      <c r="H284" s="36"/>
      <c r="I284" s="34">
        <v>125.488</v>
      </c>
      <c r="J284" s="34"/>
      <c r="K284" s="34">
        <f>I284+J284</f>
        <v>125.488</v>
      </c>
      <c r="L284" s="34">
        <f>43.0920648919096*K284</f>
        <v>5407.537039155952</v>
      </c>
      <c r="M284" s="34">
        <f>F284+L284</f>
        <v>5508.944079802989</v>
      </c>
      <c r="O284" s="4">
        <f>F284/M284</f>
        <v>0.01840770920489434</v>
      </c>
      <c r="P284" s="4">
        <f>L284/M284</f>
        <v>0.9815922907951057</v>
      </c>
    </row>
    <row r="285" spans="1:16" ht="12.75">
      <c r="A285" s="45">
        <v>1407</v>
      </c>
      <c r="B285" s="20"/>
      <c r="C285" s="34">
        <v>20.627</v>
      </c>
      <c r="D285" s="34"/>
      <c r="E285" s="34">
        <f>C285+D285</f>
        <v>20.627</v>
      </c>
      <c r="F285" s="34">
        <f>3.86194838323702*E285</f>
        <v>79.66040930103</v>
      </c>
      <c r="H285" s="36"/>
      <c r="I285" s="34">
        <v>69.184</v>
      </c>
      <c r="J285" s="34"/>
      <c r="K285" s="34">
        <f>I285+J285</f>
        <v>69.184</v>
      </c>
      <c r="L285" s="34">
        <f>43.0920648919096*K285</f>
        <v>2981.2814174818736</v>
      </c>
      <c r="M285" s="34">
        <f>F285+L285</f>
        <v>3060.9418267829037</v>
      </c>
      <c r="O285" s="4">
        <f>F285/M285</f>
        <v>0.026024803413122785</v>
      </c>
      <c r="P285" s="4">
        <f>L285/M285</f>
        <v>0.9739751965868771</v>
      </c>
    </row>
    <row r="286" spans="1:16" ht="12.75">
      <c r="A286" s="45">
        <v>1408</v>
      </c>
      <c r="B286" s="20"/>
      <c r="C286" s="34">
        <v>2.077</v>
      </c>
      <c r="D286" s="34"/>
      <c r="E286" s="34">
        <f>C286+D286</f>
        <v>2.077</v>
      </c>
      <c r="F286" s="34">
        <f>3.86194838323702*E286</f>
        <v>8.02126679198329</v>
      </c>
      <c r="H286" s="36"/>
      <c r="I286" s="34">
        <v>50.353</v>
      </c>
      <c r="J286" s="34"/>
      <c r="K286" s="34">
        <f>I286+J286</f>
        <v>50.353</v>
      </c>
      <c r="L286" s="34">
        <f>43.0920648919096*K286</f>
        <v>2169.8147435023243</v>
      </c>
      <c r="M286" s="34">
        <f>F286+L286</f>
        <v>2177.8360102943075</v>
      </c>
      <c r="O286" s="4">
        <f>F286/M286</f>
        <v>0.003683136266490201</v>
      </c>
      <c r="P286" s="4">
        <f>L286/M286</f>
        <v>0.9963168637335098</v>
      </c>
    </row>
    <row r="287" spans="1:16" ht="12.75">
      <c r="A287" s="45">
        <v>1409</v>
      </c>
      <c r="B287" s="20"/>
      <c r="C287" s="34">
        <v>2</v>
      </c>
      <c r="D287" s="34"/>
      <c r="E287" s="34">
        <f>C287+D287</f>
        <v>2</v>
      </c>
      <c r="F287" s="34">
        <f>3.86194838323702*E287</f>
        <v>7.72389676647404</v>
      </c>
      <c r="H287" s="36"/>
      <c r="I287" s="34">
        <v>50</v>
      </c>
      <c r="J287" s="34"/>
      <c r="K287" s="34">
        <f>I287+J287</f>
        <v>50</v>
      </c>
      <c r="L287" s="34">
        <f>43.0920648919096*K287</f>
        <v>2154.60324459548</v>
      </c>
      <c r="M287" s="34">
        <f>F287+L287</f>
        <v>2162.327141361954</v>
      </c>
      <c r="O287" s="4">
        <f>F287/M287</f>
        <v>0.0035720296983411583</v>
      </c>
      <c r="P287" s="4">
        <f>L287/M287</f>
        <v>0.9964279703016589</v>
      </c>
    </row>
    <row r="288" spans="1:16" ht="12.75">
      <c r="A288" s="45">
        <v>1410</v>
      </c>
      <c r="B288" s="20"/>
      <c r="C288" s="34">
        <v>2</v>
      </c>
      <c r="D288" s="34"/>
      <c r="E288" s="34">
        <f>C288+D288</f>
        <v>2</v>
      </c>
      <c r="F288" s="34">
        <f>3.86194838323702*E288</f>
        <v>7.72389676647404</v>
      </c>
      <c r="H288" s="36"/>
      <c r="I288" s="34">
        <v>50</v>
      </c>
      <c r="J288" s="34"/>
      <c r="K288" s="34">
        <f>I288+J288</f>
        <v>50</v>
      </c>
      <c r="L288" s="34">
        <f>43.0920648919096*K288</f>
        <v>2154.60324459548</v>
      </c>
      <c r="M288" s="34">
        <f>F288+L288</f>
        <v>2162.327141361954</v>
      </c>
      <c r="O288" s="4">
        <f>F288/M288</f>
        <v>0.0035720296983411583</v>
      </c>
      <c r="P288" s="4">
        <f>L288/M288</f>
        <v>0.9964279703016589</v>
      </c>
    </row>
    <row r="289" spans="1:16" ht="12.75">
      <c r="A289" s="45"/>
      <c r="B289" s="20"/>
      <c r="C289" s="36"/>
      <c r="D289" s="36"/>
      <c r="E289" s="36"/>
      <c r="F289" s="36"/>
      <c r="H289" s="36"/>
      <c r="I289" s="36"/>
      <c r="J289" s="36"/>
      <c r="K289" s="36"/>
      <c r="L289" s="36"/>
      <c r="M289" s="36"/>
      <c r="O289" s="8"/>
      <c r="P289" s="8"/>
    </row>
    <row r="290" spans="1:16" ht="12.75">
      <c r="A290" s="45" t="s">
        <v>60</v>
      </c>
      <c r="B290" s="20"/>
      <c r="C290" s="36">
        <f>SUM(C284:C289)/5</f>
        <v>10.5924</v>
      </c>
      <c r="D290" s="36">
        <f>SUM(D284:D289)/5</f>
        <v>0</v>
      </c>
      <c r="E290" s="36">
        <f>SUM(E284:E289)/5</f>
        <v>10.5924</v>
      </c>
      <c r="F290" s="36">
        <f>SUM(F284:F289)/5</f>
        <v>40.90730205459981</v>
      </c>
      <c r="H290" s="36"/>
      <c r="I290" s="36">
        <f>SUM(I284:I289)/5</f>
        <v>69.005</v>
      </c>
      <c r="J290" s="36">
        <f>SUM(J284:J289)/5</f>
        <v>0</v>
      </c>
      <c r="K290" s="36">
        <f>SUM(K284:K289)/5</f>
        <v>69.005</v>
      </c>
      <c r="L290" s="36">
        <f>SUM(L284:L289)/5</f>
        <v>2973.567937866222</v>
      </c>
      <c r="M290" s="36">
        <f>SUM(M284:M289)/5</f>
        <v>3014.475239920822</v>
      </c>
      <c r="O290" s="4">
        <f>F290/M290</f>
        <v>0.01357028961885727</v>
      </c>
      <c r="P290" s="4">
        <f>L290/M290</f>
        <v>0.9864297103811427</v>
      </c>
    </row>
    <row r="291" spans="1:16" ht="12.75">
      <c r="A291" s="45"/>
      <c r="B291" s="20"/>
      <c r="C291" s="36"/>
      <c r="D291" s="36"/>
      <c r="E291" s="36"/>
      <c r="F291" s="36"/>
      <c r="H291" s="36"/>
      <c r="I291" s="36"/>
      <c r="J291" s="36"/>
      <c r="K291" s="36"/>
      <c r="L291" s="36"/>
      <c r="M291" s="36"/>
      <c r="O291" s="8"/>
      <c r="P291" s="8"/>
    </row>
    <row r="292" spans="1:16" ht="12.75">
      <c r="A292" s="45">
        <v>1411</v>
      </c>
      <c r="B292" s="20"/>
      <c r="C292" s="34">
        <v>2</v>
      </c>
      <c r="D292" s="34"/>
      <c r="E292" s="34">
        <f>C292+D292</f>
        <v>2</v>
      </c>
      <c r="F292" s="34">
        <f>3.86194838323702*E292</f>
        <v>7.72389676647404</v>
      </c>
      <c r="H292" s="36"/>
      <c r="I292" s="34">
        <v>50</v>
      </c>
      <c r="J292" s="34"/>
      <c r="K292" s="34">
        <f>I292+J292</f>
        <v>50</v>
      </c>
      <c r="L292" s="34">
        <f>43.0920648919096*K292</f>
        <v>2154.60324459548</v>
      </c>
      <c r="M292" s="34">
        <f>F292+L292</f>
        <v>2162.327141361954</v>
      </c>
      <c r="O292" s="4">
        <f>F292/M292</f>
        <v>0.0035720296983411583</v>
      </c>
      <c r="P292" s="4">
        <f>L292/M292</f>
        <v>0.9964279703016589</v>
      </c>
    </row>
    <row r="293" spans="1:16" ht="12.75">
      <c r="A293" s="45">
        <v>1412</v>
      </c>
      <c r="B293" s="20"/>
      <c r="C293" s="34">
        <v>523.442</v>
      </c>
      <c r="D293" s="34"/>
      <c r="E293" s="34">
        <f>C293+D293</f>
        <v>523.442</v>
      </c>
      <c r="F293" s="34">
        <f>4.63433805988442*E293</f>
        <v>2425.8071827420204</v>
      </c>
      <c r="H293" s="36"/>
      <c r="I293" s="34">
        <v>2608.424</v>
      </c>
      <c r="J293" s="34"/>
      <c r="K293" s="34">
        <f>I293+J293</f>
        <v>2608.424</v>
      </c>
      <c r="L293" s="34">
        <f>47.8800721021218*K293</f>
        <v>124891.52919290496</v>
      </c>
      <c r="M293" s="34">
        <f>F293+L293</f>
        <v>127317.33637564698</v>
      </c>
      <c r="O293" s="4">
        <f>F293/M293</f>
        <v>0.019053235417875302</v>
      </c>
      <c r="P293" s="4">
        <f>L293/M293</f>
        <v>0.9809467645821247</v>
      </c>
    </row>
    <row r="294" spans="1:16" ht="12.75">
      <c r="A294" s="45">
        <v>1413</v>
      </c>
      <c r="B294" s="20"/>
      <c r="C294" s="34">
        <v>1283.579</v>
      </c>
      <c r="D294" s="34"/>
      <c r="E294" s="34">
        <f>C294+D294</f>
        <v>1283.579</v>
      </c>
      <c r="F294" s="34">
        <f>4.63433805988442*E294</f>
        <v>5948.539012568383</v>
      </c>
      <c r="H294" s="36"/>
      <c r="I294" s="34">
        <v>3421.064</v>
      </c>
      <c r="J294" s="34"/>
      <c r="K294" s="34">
        <f>I294+J294</f>
        <v>3421.064</v>
      </c>
      <c r="L294" s="34">
        <f>47.8800721021218*K294</f>
        <v>163800.7909859732</v>
      </c>
      <c r="M294" s="34">
        <f>F294+L294</f>
        <v>169749.3299985416</v>
      </c>
      <c r="O294" s="4">
        <f>F294/M294</f>
        <v>0.03504307800578353</v>
      </c>
      <c r="P294" s="4">
        <f>L294/M294</f>
        <v>0.9649569219942165</v>
      </c>
    </row>
    <row r="295" spans="1:16" ht="12.75">
      <c r="A295" s="45">
        <v>1414</v>
      </c>
      <c r="B295" s="20"/>
      <c r="C295" s="34">
        <v>1514.2</v>
      </c>
      <c r="D295" s="34"/>
      <c r="E295" s="34">
        <f>C295+D295</f>
        <v>1514.2</v>
      </c>
      <c r="F295" s="34">
        <f>4.63433805988442*E295</f>
        <v>7017.314690276989</v>
      </c>
      <c r="H295" s="36"/>
      <c r="I295" s="34">
        <v>1636.929</v>
      </c>
      <c r="J295" s="34"/>
      <c r="K295" s="34">
        <f>I295+J295</f>
        <v>1636.929</v>
      </c>
      <c r="L295" s="34">
        <f>47.8800721021218*K295</f>
        <v>78376.27854605413</v>
      </c>
      <c r="M295" s="34">
        <f>F295+L295</f>
        <v>85393.59323633113</v>
      </c>
      <c r="O295" s="4">
        <f>F295/M295</f>
        <v>0.08217612615101243</v>
      </c>
      <c r="P295" s="4">
        <f>L295/M295</f>
        <v>0.9178238738489874</v>
      </c>
    </row>
    <row r="296" spans="1:16" ht="12.75">
      <c r="A296" s="45">
        <v>1415</v>
      </c>
      <c r="B296" s="20"/>
      <c r="C296" s="34">
        <v>1514.2</v>
      </c>
      <c r="D296" s="34"/>
      <c r="E296" s="34">
        <f>C296+D296</f>
        <v>1514.2</v>
      </c>
      <c r="F296" s="34">
        <f>4.63433805988442*E296</f>
        <v>7017.314690276989</v>
      </c>
      <c r="H296" s="36"/>
      <c r="I296" s="34">
        <v>1636.929</v>
      </c>
      <c r="J296" s="34"/>
      <c r="K296" s="34">
        <f>I296+J296</f>
        <v>1636.929</v>
      </c>
      <c r="L296" s="34">
        <f>47.8800721021218*K296</f>
        <v>78376.27854605413</v>
      </c>
      <c r="M296" s="34">
        <f>F296+L296</f>
        <v>85393.59323633113</v>
      </c>
      <c r="O296" s="4">
        <f>F296/M296</f>
        <v>0.08217612615101243</v>
      </c>
      <c r="P296" s="4">
        <f>L296/M296</f>
        <v>0.9178238738489874</v>
      </c>
    </row>
    <row r="297" spans="1:16" ht="12.75">
      <c r="A297" s="45"/>
      <c r="B297" s="20"/>
      <c r="C297" s="36"/>
      <c r="D297" s="36"/>
      <c r="E297" s="36"/>
      <c r="F297" s="36"/>
      <c r="H297" s="36"/>
      <c r="I297" s="36"/>
      <c r="J297" s="36"/>
      <c r="K297" s="36"/>
      <c r="L297" s="36"/>
      <c r="M297" s="36"/>
      <c r="O297" s="8"/>
      <c r="P297" s="8"/>
    </row>
    <row r="298" spans="1:16" ht="12.75">
      <c r="A298" s="45" t="s">
        <v>62</v>
      </c>
      <c r="B298" s="20"/>
      <c r="C298" s="36">
        <f>SUM(C292:C297)/5</f>
        <v>967.4842000000001</v>
      </c>
      <c r="D298" s="36">
        <f>SUM(D292:D297)/5</f>
        <v>0</v>
      </c>
      <c r="E298" s="36">
        <f>SUM(E292:E297)/5</f>
        <v>967.4842000000001</v>
      </c>
      <c r="F298" s="36">
        <f>SUM(F292:F297)/5</f>
        <v>4483.339894526171</v>
      </c>
      <c r="H298" s="36"/>
      <c r="I298" s="36">
        <f>SUM(I292:I297)/5</f>
        <v>1870.6691999999998</v>
      </c>
      <c r="J298" s="36">
        <f>SUM(J292:J297)/5</f>
        <v>0</v>
      </c>
      <c r="K298" s="36">
        <f>SUM(K292:K297)/5</f>
        <v>1870.6691999999998</v>
      </c>
      <c r="L298" s="36">
        <f>SUM(L292:L297)/5</f>
        <v>89519.89610311638</v>
      </c>
      <c r="M298" s="36">
        <f>SUM(M292:M297)/5</f>
        <v>94003.23599764255</v>
      </c>
      <c r="O298" s="4">
        <f>F298/M298</f>
        <v>0.047693463389266784</v>
      </c>
      <c r="P298" s="4">
        <f>L298/M298</f>
        <v>0.9523065366107332</v>
      </c>
    </row>
    <row r="299" spans="1:16" ht="12.75">
      <c r="A299" s="45"/>
      <c r="B299" s="20"/>
      <c r="C299" s="36"/>
      <c r="D299" s="36"/>
      <c r="E299" s="36"/>
      <c r="F299" s="36"/>
      <c r="H299" s="36"/>
      <c r="I299" s="36"/>
      <c r="J299" s="36"/>
      <c r="K299" s="36"/>
      <c r="L299" s="36"/>
      <c r="M299" s="36"/>
      <c r="O299" s="8"/>
      <c r="P299" s="8"/>
    </row>
    <row r="300" spans="1:16" ht="12.75">
      <c r="A300" s="45">
        <v>1416</v>
      </c>
      <c r="B300" s="20"/>
      <c r="C300" s="34">
        <v>1514.2</v>
      </c>
      <c r="D300" s="34"/>
      <c r="E300" s="34">
        <f>C300+D300</f>
        <v>1514.2</v>
      </c>
      <c r="F300" s="34">
        <f>4.63433805988442*E300</f>
        <v>7017.314690276989</v>
      </c>
      <c r="H300" s="36"/>
      <c r="I300" s="34">
        <v>1636.929</v>
      </c>
      <c r="J300" s="34"/>
      <c r="K300" s="34">
        <f>I300+J300</f>
        <v>1636.929</v>
      </c>
      <c r="L300" s="34">
        <f>47.8800721021218*K300</f>
        <v>78376.27854605413</v>
      </c>
      <c r="M300" s="34">
        <f>F300+L300</f>
        <v>85393.59323633113</v>
      </c>
      <c r="O300" s="4">
        <f>F300/M300</f>
        <v>0.08217612615101243</v>
      </c>
      <c r="P300" s="4">
        <f>L300/M300</f>
        <v>0.9178238738489874</v>
      </c>
    </row>
    <row r="301" spans="1:16" ht="12.75">
      <c r="A301" s="45">
        <v>1417</v>
      </c>
      <c r="B301" s="20"/>
      <c r="C301" s="34">
        <v>1514.2</v>
      </c>
      <c r="D301" s="34"/>
      <c r="E301" s="34">
        <f>C301+D301</f>
        <v>1514.2</v>
      </c>
      <c r="F301" s="34">
        <f>4.63433805988442*E301</f>
        <v>7017.314690276989</v>
      </c>
      <c r="H301" s="36"/>
      <c r="I301" s="34">
        <v>1636.929</v>
      </c>
      <c r="J301" s="34"/>
      <c r="K301" s="34">
        <f>I301+J301</f>
        <v>1636.929</v>
      </c>
      <c r="L301" s="34">
        <f>47.8800721021218*K301</f>
        <v>78376.27854605413</v>
      </c>
      <c r="M301" s="34">
        <f>F301+L301</f>
        <v>85393.59323633113</v>
      </c>
      <c r="O301" s="4">
        <f>F301/M301</f>
        <v>0.08217612615101243</v>
      </c>
      <c r="P301" s="4">
        <f>L301/M301</f>
        <v>0.9178238738489874</v>
      </c>
    </row>
    <row r="302" spans="1:16" ht="12.75">
      <c r="A302" s="45">
        <v>1418</v>
      </c>
      <c r="B302" s="20"/>
      <c r="C302" s="34">
        <v>454.218</v>
      </c>
      <c r="D302" s="34"/>
      <c r="E302" s="34">
        <f>C302+D302</f>
        <v>454.218</v>
      </c>
      <c r="F302" s="34">
        <f>4.63433805988442*E302</f>
        <v>2104.9997648845815</v>
      </c>
      <c r="H302" s="36"/>
      <c r="I302" s="34">
        <v>664.836</v>
      </c>
      <c r="J302" s="34"/>
      <c r="K302" s="34">
        <f>I302+J302</f>
        <v>664.836</v>
      </c>
      <c r="L302" s="34">
        <f>47.8800721021218*K302</f>
        <v>31832.39561608625</v>
      </c>
      <c r="M302" s="34">
        <f>F302+L302</f>
        <v>33937.39538097083</v>
      </c>
      <c r="O302" s="4">
        <f>F302/M302</f>
        <v>0.06202596696813345</v>
      </c>
      <c r="P302" s="4">
        <f>L302/M302</f>
        <v>0.9379740330318665</v>
      </c>
    </row>
    <row r="303" spans="1:16" ht="12.75">
      <c r="A303" s="45">
        <v>1419</v>
      </c>
      <c r="B303" s="20"/>
      <c r="C303" s="34">
        <v>371.952</v>
      </c>
      <c r="D303" s="34"/>
      <c r="E303" s="34">
        <f>C303+D303</f>
        <v>371.952</v>
      </c>
      <c r="F303" s="34">
        <f>4.63433805988442*E303</f>
        <v>1723.7513100501296</v>
      </c>
      <c r="H303" s="36"/>
      <c r="I303" s="34">
        <v>633.121</v>
      </c>
      <c r="J303" s="34"/>
      <c r="K303" s="34">
        <f>I303+J303</f>
        <v>633.121</v>
      </c>
      <c r="L303" s="34">
        <f>47.8800721021218*K303</f>
        <v>30313.879129367455</v>
      </c>
      <c r="M303" s="34">
        <f>F303+L303</f>
        <v>32037.630439417586</v>
      </c>
      <c r="O303" s="4">
        <f>F303/M303</f>
        <v>0.05380395760884074</v>
      </c>
      <c r="P303" s="4">
        <f>L303/M303</f>
        <v>0.9461960423911592</v>
      </c>
    </row>
    <row r="304" spans="1:16" ht="12.75">
      <c r="A304" s="45">
        <v>1420</v>
      </c>
      <c r="B304" s="20"/>
      <c r="C304" s="34">
        <v>334.244</v>
      </c>
      <c r="D304" s="34"/>
      <c r="E304" s="34">
        <f>C304+D304</f>
        <v>334.244</v>
      </c>
      <c r="F304" s="34">
        <f>4.63433805988442*E304</f>
        <v>1548.9996904880081</v>
      </c>
      <c r="H304" s="36"/>
      <c r="I304" s="34">
        <v>603.937</v>
      </c>
      <c r="J304" s="34"/>
      <c r="K304" s="34">
        <f>I304+J304</f>
        <v>603.937</v>
      </c>
      <c r="L304" s="34">
        <f>47.8800721021218*K304</f>
        <v>28916.547105139136</v>
      </c>
      <c r="M304" s="34">
        <f>F304+L304</f>
        <v>30465.546795627146</v>
      </c>
      <c r="O304" s="4">
        <f>F304/M304</f>
        <v>0.05084430950408357</v>
      </c>
      <c r="P304" s="4">
        <f>L304/M304</f>
        <v>0.9491556904959164</v>
      </c>
    </row>
    <row r="305" spans="1:16" ht="12.75">
      <c r="A305" s="45"/>
      <c r="B305" s="20"/>
      <c r="C305" s="36"/>
      <c r="D305" s="36"/>
      <c r="E305" s="36"/>
      <c r="F305" s="36"/>
      <c r="H305" s="36"/>
      <c r="I305" s="36"/>
      <c r="J305" s="36"/>
      <c r="K305" s="36"/>
      <c r="L305" s="36"/>
      <c r="M305" s="36"/>
      <c r="O305" s="8"/>
      <c r="P305" s="8"/>
    </row>
    <row r="306" spans="1:16" ht="12.75">
      <c r="A306" s="45" t="s">
        <v>64</v>
      </c>
      <c r="B306" s="20"/>
      <c r="C306" s="36">
        <f>SUM(C300:C305)/5</f>
        <v>837.7627999999999</v>
      </c>
      <c r="D306" s="36">
        <f>SUM(D300:D305)/5</f>
        <v>0</v>
      </c>
      <c r="E306" s="36">
        <f>SUM(E300:E305)/5</f>
        <v>837.7627999999999</v>
      </c>
      <c r="F306" s="36">
        <f>SUM(F300:F305)/5</f>
        <v>3882.47602919534</v>
      </c>
      <c r="H306" s="36"/>
      <c r="I306" s="36">
        <f>SUM(I300:I305)/5</f>
        <v>1035.1504</v>
      </c>
      <c r="J306" s="36">
        <f>SUM(J300:J305)/5</f>
        <v>0</v>
      </c>
      <c r="K306" s="36">
        <f>SUM(K300:K305)/5</f>
        <v>1035.1504</v>
      </c>
      <c r="L306" s="36">
        <f>SUM(L300:L305)/5</f>
        <v>49563.07578854022</v>
      </c>
      <c r="M306" s="36">
        <f>SUM(M300:M305)/5</f>
        <v>53445.55181773556</v>
      </c>
      <c r="O306" s="4">
        <f>F306/M306</f>
        <v>0.07264357644646799</v>
      </c>
      <c r="P306" s="4">
        <f>L306/M306</f>
        <v>0.927356423553532</v>
      </c>
    </row>
    <row r="307" spans="1:16" ht="12.75">
      <c r="A307" s="45"/>
      <c r="B307" s="20"/>
      <c r="C307" s="36"/>
      <c r="D307" s="36"/>
      <c r="E307" s="36"/>
      <c r="F307" s="36"/>
      <c r="H307" s="36"/>
      <c r="I307" s="36"/>
      <c r="J307" s="36"/>
      <c r="K307" s="36"/>
      <c r="L307" s="36"/>
      <c r="M307" s="36"/>
      <c r="O307" s="8"/>
      <c r="P307" s="8"/>
    </row>
    <row r="308" spans="1:16" ht="12.75">
      <c r="A308" s="45">
        <v>1421</v>
      </c>
      <c r="B308" s="20"/>
      <c r="C308" s="34">
        <v>478.502</v>
      </c>
      <c r="D308" s="34"/>
      <c r="E308" s="34">
        <f>C308+D308</f>
        <v>478.502</v>
      </c>
      <c r="F308" s="34">
        <f>4.63433805988442*E308</f>
        <v>2217.5400303308147</v>
      </c>
      <c r="H308" s="36"/>
      <c r="I308" s="34">
        <v>1371.084</v>
      </c>
      <c r="J308" s="34"/>
      <c r="K308" s="34">
        <f>I308+J308</f>
        <v>1371.084</v>
      </c>
      <c r="L308" s="34">
        <f>47.8800721021218*K308</f>
        <v>65647.60077806556</v>
      </c>
      <c r="M308" s="34">
        <f>F308+L308</f>
        <v>67865.14080839638</v>
      </c>
      <c r="O308" s="4">
        <f>F308/M308</f>
        <v>0.0326756859842315</v>
      </c>
      <c r="P308" s="4">
        <f>L308/M308</f>
        <v>0.9673243140157686</v>
      </c>
    </row>
    <row r="309" spans="1:16" ht="12.75">
      <c r="A309" s="45">
        <v>1422</v>
      </c>
      <c r="B309" s="20"/>
      <c r="C309" s="34">
        <v>687.473</v>
      </c>
      <c r="D309" s="34">
        <v>310.42</v>
      </c>
      <c r="E309" s="34">
        <f>C309+D309</f>
        <v>997.893</v>
      </c>
      <c r="F309" s="34">
        <f>4.63433805988442*E309</f>
        <v>4624.573509592244</v>
      </c>
      <c r="H309" s="36"/>
      <c r="I309" s="34">
        <v>2060.265</v>
      </c>
      <c r="J309" s="34">
        <v>159.949</v>
      </c>
      <c r="K309" s="34">
        <f>I309+J309</f>
        <v>2220.214</v>
      </c>
      <c r="L309" s="34">
        <f>47.8800721021218*K309</f>
        <v>106304.00640214025</v>
      </c>
      <c r="M309" s="34">
        <f>F309+L309</f>
        <v>110928.5799117325</v>
      </c>
      <c r="O309" s="4">
        <f>F309/M309</f>
        <v>0.04168964854027776</v>
      </c>
      <c r="P309" s="4">
        <f>L309/M309</f>
        <v>0.9583103514597222</v>
      </c>
    </row>
    <row r="310" spans="1:16" ht="12.75">
      <c r="A310" s="45">
        <v>1423</v>
      </c>
      <c r="B310" s="20"/>
      <c r="C310" s="34">
        <v>896.444</v>
      </c>
      <c r="D310" s="34">
        <v>1541.998</v>
      </c>
      <c r="E310" s="34">
        <f>C310+D310</f>
        <v>2438.442</v>
      </c>
      <c r="F310" s="34">
        <f>4.63433805988442*E310</f>
        <v>11300.564567420684</v>
      </c>
      <c r="H310" s="36"/>
      <c r="I310" s="34">
        <v>2749.446</v>
      </c>
      <c r="J310" s="34">
        <v>939.139</v>
      </c>
      <c r="K310" s="34">
        <f>I310+J310</f>
        <v>3688.585</v>
      </c>
      <c r="L310" s="34">
        <f>47.8800721021218*K310</f>
        <v>176609.71575480496</v>
      </c>
      <c r="M310" s="34">
        <f>F310+L310</f>
        <v>187910.28032222565</v>
      </c>
      <c r="O310" s="4">
        <f>F310/M310</f>
        <v>0.06013808583565865</v>
      </c>
      <c r="P310" s="4">
        <f>L310/M310</f>
        <v>0.9398619141643413</v>
      </c>
    </row>
    <row r="311" spans="1:16" ht="12.75">
      <c r="A311" s="45">
        <v>1424</v>
      </c>
      <c r="B311" s="20"/>
      <c r="C311" s="34">
        <v>896.444</v>
      </c>
      <c r="D311" s="34">
        <v>4622.912</v>
      </c>
      <c r="E311" s="34">
        <f>C311+D311</f>
        <v>5519.356</v>
      </c>
      <c r="F311" s="34">
        <f>4.63433805988442*E311</f>
        <v>25578.56157685143</v>
      </c>
      <c r="H311" s="36"/>
      <c r="I311" s="34">
        <v>2749.446</v>
      </c>
      <c r="J311" s="34">
        <v>1243.533</v>
      </c>
      <c r="K311" s="34">
        <f>I311+J311</f>
        <v>3992.979</v>
      </c>
      <c r="L311" s="34">
        <f>47.8800721021218*K311</f>
        <v>191184.1224222582</v>
      </c>
      <c r="M311" s="34">
        <f>F311+L311</f>
        <v>216762.68399910963</v>
      </c>
      <c r="O311" s="4">
        <f>F311/M311</f>
        <v>0.11800260591420106</v>
      </c>
      <c r="P311" s="4">
        <f>L311/M311</f>
        <v>0.8819973940857989</v>
      </c>
    </row>
    <row r="312" spans="1:16" ht="12.75">
      <c r="A312" s="45">
        <v>1425</v>
      </c>
      <c r="B312" s="20"/>
      <c r="C312" s="34">
        <v>521.875</v>
      </c>
      <c r="D312" s="34">
        <v>5974.031</v>
      </c>
      <c r="E312" s="34">
        <f>C312+D312</f>
        <v>6495.906</v>
      </c>
      <c r="F312" s="34">
        <f>4.63433805988442*E312</f>
        <v>30104.22440923156</v>
      </c>
      <c r="H312" s="36"/>
      <c r="I312" s="34">
        <v>1206.362</v>
      </c>
      <c r="J312" s="34">
        <v>307.345</v>
      </c>
      <c r="K312" s="34">
        <f>I312+J312</f>
        <v>1513.707</v>
      </c>
      <c r="L312" s="34">
        <f>47.8800721021218*K312</f>
        <v>72476.40030148649</v>
      </c>
      <c r="M312" s="34">
        <f>F312+L312</f>
        <v>102580.62471071805</v>
      </c>
      <c r="O312" s="4">
        <f>F312/M312</f>
        <v>0.2934689128100635</v>
      </c>
      <c r="P312" s="4">
        <f>L312/M312</f>
        <v>0.7065310871899364</v>
      </c>
    </row>
    <row r="313" spans="1:16" ht="12.75">
      <c r="A313" s="45"/>
      <c r="B313" s="20"/>
      <c r="C313" s="36"/>
      <c r="D313" s="36"/>
      <c r="E313" s="36"/>
      <c r="F313" s="36"/>
      <c r="H313" s="36"/>
      <c r="I313" s="36"/>
      <c r="J313" s="36"/>
      <c r="K313" s="36"/>
      <c r="L313" s="36"/>
      <c r="M313" s="36"/>
      <c r="O313" s="8"/>
      <c r="P313" s="8"/>
    </row>
    <row r="314" spans="1:16" ht="12.75">
      <c r="A314" s="45" t="s">
        <v>66</v>
      </c>
      <c r="B314" s="20"/>
      <c r="C314" s="36">
        <f>SUM(C308:C313)/5</f>
        <v>696.1476</v>
      </c>
      <c r="D314" s="36">
        <f>SUM(D308:D313)/5</f>
        <v>2489.8722000000002</v>
      </c>
      <c r="E314" s="36">
        <f>SUM(E308:E313)/5</f>
        <v>3186.0197999999996</v>
      </c>
      <c r="F314" s="36">
        <f>SUM(F308:F313)/5</f>
        <v>14765.092818685347</v>
      </c>
      <c r="H314" s="36"/>
      <c r="I314" s="36">
        <f>SUM(I308:I313)/5</f>
        <v>2027.3205999999998</v>
      </c>
      <c r="J314" s="36">
        <f>SUM(J308:J313)/5</f>
        <v>529.9932000000001</v>
      </c>
      <c r="K314" s="36">
        <f>SUM(K308:K313)/5</f>
        <v>2557.3138</v>
      </c>
      <c r="L314" s="36">
        <f>SUM(L308:L313)/5</f>
        <v>122444.36913175108</v>
      </c>
      <c r="M314" s="36">
        <f>SUM(M308:M313)/5</f>
        <v>137209.46195043644</v>
      </c>
      <c r="O314" s="4">
        <f>F314/M314</f>
        <v>0.10760987331922398</v>
      </c>
      <c r="P314" s="4">
        <f>L314/M314</f>
        <v>0.892390126680776</v>
      </c>
    </row>
    <row r="315" spans="1:16" ht="12.75">
      <c r="A315" s="45"/>
      <c r="B315" s="20"/>
      <c r="C315" s="36"/>
      <c r="D315" s="36"/>
      <c r="E315" s="36"/>
      <c r="F315" s="36"/>
      <c r="H315" s="36"/>
      <c r="I315" s="36"/>
      <c r="J315" s="36"/>
      <c r="K315" s="36"/>
      <c r="L315" s="36"/>
      <c r="M315" s="36"/>
      <c r="O315" s="8"/>
      <c r="P315" s="8"/>
    </row>
    <row r="316" spans="1:16" ht="12.75">
      <c r="A316" s="45">
        <v>1426</v>
      </c>
      <c r="B316" s="20"/>
      <c r="C316" s="34">
        <v>562.276</v>
      </c>
      <c r="D316" s="34">
        <v>5046.416</v>
      </c>
      <c r="E316" s="34">
        <f>C316+D316</f>
        <v>5608.692</v>
      </c>
      <c r="F316" s="34">
        <f>4.63433805988442*E316</f>
        <v>25992.574801769264</v>
      </c>
      <c r="H316" s="36"/>
      <c r="I316" s="34">
        <v>688.738</v>
      </c>
      <c r="J316" s="34">
        <v>171.007</v>
      </c>
      <c r="K316" s="34">
        <f>I316+J316</f>
        <v>859.7450000000001</v>
      </c>
      <c r="L316" s="34">
        <f>47.8800721021218*K316</f>
        <v>41164.652589438716</v>
      </c>
      <c r="M316" s="34">
        <f>F316+L316</f>
        <v>67157.22739120798</v>
      </c>
      <c r="O316" s="4">
        <f>F316/M316</f>
        <v>0.38704061813564583</v>
      </c>
      <c r="P316" s="4">
        <f>L316/M316</f>
        <v>0.6129593818643541</v>
      </c>
    </row>
    <row r="317" spans="1:16" ht="12.75">
      <c r="A317" s="45">
        <v>1427</v>
      </c>
      <c r="B317" s="20"/>
      <c r="C317" s="34">
        <v>506.323</v>
      </c>
      <c r="D317" s="34">
        <v>4610.237</v>
      </c>
      <c r="E317" s="34">
        <f>C317+D317</f>
        <v>5116.56</v>
      </c>
      <c r="F317" s="34">
        <f>4.63433805988442*E317</f>
        <v>23711.86874368223</v>
      </c>
      <c r="H317" s="36"/>
      <c r="I317" s="34">
        <v>648.146</v>
      </c>
      <c r="J317" s="34">
        <v>94.766</v>
      </c>
      <c r="K317" s="34">
        <f>I317+J317</f>
        <v>742.9119999999999</v>
      </c>
      <c r="L317" s="34">
        <f>47.8800721021218*K317</f>
        <v>35570.68012553151</v>
      </c>
      <c r="M317" s="34">
        <f>F317+L317</f>
        <v>59282.54886921374</v>
      </c>
      <c r="O317" s="4">
        <f>F317/M317</f>
        <v>0.3999805878116711</v>
      </c>
      <c r="P317" s="4">
        <f>L317/M317</f>
        <v>0.6000194121883289</v>
      </c>
    </row>
    <row r="318" spans="1:16" ht="12.75">
      <c r="A318" s="45">
        <v>1428</v>
      </c>
      <c r="B318" s="20"/>
      <c r="C318" s="34">
        <v>376.652</v>
      </c>
      <c r="D318" s="34">
        <v>5646.787</v>
      </c>
      <c r="E318" s="34">
        <f>C318+D318</f>
        <v>6023.439</v>
      </c>
      <c r="F318" s="34">
        <f>4.63433805988442*E318</f>
        <v>27914.65260909215</v>
      </c>
      <c r="H318" s="36"/>
      <c r="I318" s="34">
        <v>588.925</v>
      </c>
      <c r="J318" s="34">
        <v>46.543</v>
      </c>
      <c r="K318" s="34">
        <f>I318+J318</f>
        <v>635.468</v>
      </c>
      <c r="L318" s="34">
        <f>47.8800721021218*K318</f>
        <v>30426.253658591133</v>
      </c>
      <c r="M318" s="34">
        <f>F318+L318</f>
        <v>58340.906267683284</v>
      </c>
      <c r="O318" s="4">
        <f>F318/M318</f>
        <v>0.4784747854449235</v>
      </c>
      <c r="P318" s="4">
        <f>L318/M318</f>
        <v>0.5215252145550765</v>
      </c>
    </row>
    <row r="319" spans="1:16" ht="12.75">
      <c r="A319" s="45">
        <v>1429</v>
      </c>
      <c r="B319" s="20"/>
      <c r="C319" s="34">
        <v>624.647</v>
      </c>
      <c r="D319" s="34">
        <v>7722.475</v>
      </c>
      <c r="E319" s="34">
        <f>C319+D319</f>
        <v>8347.122000000001</v>
      </c>
      <c r="F319" s="34">
        <f>4.63433805988442*E319</f>
        <v>38683.38517509856</v>
      </c>
      <c r="H319" s="36"/>
      <c r="I319" s="34">
        <v>354.79</v>
      </c>
      <c r="J319" s="34">
        <v>36.058</v>
      </c>
      <c r="K319" s="34">
        <f>I319+J319</f>
        <v>390.848</v>
      </c>
      <c r="L319" s="34">
        <f>47.8800721021218*K319</f>
        <v>18713.830420970102</v>
      </c>
      <c r="M319" s="34">
        <f>F319+L319</f>
        <v>57397.215596068665</v>
      </c>
      <c r="O319" s="4">
        <f>F319/M319</f>
        <v>0.6739592639359343</v>
      </c>
      <c r="P319" s="4">
        <f>L319/M319</f>
        <v>0.32604073606406575</v>
      </c>
    </row>
    <row r="320" spans="1:16" ht="12.75">
      <c r="A320" s="45">
        <v>1430</v>
      </c>
      <c r="B320" s="20"/>
      <c r="C320" s="34">
        <v>616.014</v>
      </c>
      <c r="D320" s="34">
        <v>8581.212</v>
      </c>
      <c r="E320" s="34">
        <f>C320+D320</f>
        <v>9197.225999999999</v>
      </c>
      <c r="F320" s="34">
        <f>4.63433805988442*E320</f>
        <v>42623.05449715853</v>
      </c>
      <c r="H320" s="36"/>
      <c r="I320" s="34">
        <v>328.35</v>
      </c>
      <c r="J320" s="34">
        <v>40.069</v>
      </c>
      <c r="K320" s="34">
        <f>I320+J320</f>
        <v>368.41900000000004</v>
      </c>
      <c r="L320" s="34">
        <f>47.8800721021218*K320</f>
        <v>17639.928283791614</v>
      </c>
      <c r="M320" s="34">
        <f>F320+L320</f>
        <v>60262.982780950144</v>
      </c>
      <c r="O320" s="4">
        <f>F320/M320</f>
        <v>0.7072841822664011</v>
      </c>
      <c r="P320" s="4">
        <f>L320/M320</f>
        <v>0.29271581773359895</v>
      </c>
    </row>
    <row r="321" spans="1:16" ht="12.75">
      <c r="A321" s="45"/>
      <c r="B321" s="20"/>
      <c r="C321" s="36"/>
      <c r="D321" s="36"/>
      <c r="E321" s="36"/>
      <c r="F321" s="36"/>
      <c r="H321" s="36"/>
      <c r="I321" s="36"/>
      <c r="J321" s="36"/>
      <c r="K321" s="36"/>
      <c r="L321" s="36"/>
      <c r="M321" s="36"/>
      <c r="O321" s="8"/>
      <c r="P321" s="8"/>
    </row>
    <row r="322" spans="1:16" ht="12.75">
      <c r="A322" s="45" t="s">
        <v>67</v>
      </c>
      <c r="B322" s="20"/>
      <c r="C322" s="36">
        <f>SUM(C316:C321)/5</f>
        <v>537.1824</v>
      </c>
      <c r="D322" s="36">
        <f>SUM(D316:D321)/5</f>
        <v>6321.4254</v>
      </c>
      <c r="E322" s="36">
        <f>SUM(E316:E321)/5</f>
        <v>6858.607800000001</v>
      </c>
      <c r="F322" s="36">
        <f>SUM(F316:F321)/5</f>
        <v>31785.107165360147</v>
      </c>
      <c r="H322" s="36"/>
      <c r="I322" s="36">
        <f>SUM(I316:I321)/5</f>
        <v>521.7898</v>
      </c>
      <c r="J322" s="36">
        <f>SUM(J316:J321)/5</f>
        <v>77.68860000000001</v>
      </c>
      <c r="K322" s="36">
        <f>SUM(K316:K321)/5</f>
        <v>599.4784</v>
      </c>
      <c r="L322" s="36">
        <f>SUM(L316:L321)/5</f>
        <v>28703.069015664612</v>
      </c>
      <c r="M322" s="36">
        <f>SUM(M316:M321)/5</f>
        <v>60488.17618102477</v>
      </c>
      <c r="O322" s="4">
        <f>F322/M322</f>
        <v>0.5254763686416318</v>
      </c>
      <c r="P322" s="4">
        <f>L322/M322</f>
        <v>0.474523631358368</v>
      </c>
    </row>
    <row r="323" spans="1:16" ht="12.75">
      <c r="A323" s="45"/>
      <c r="B323" s="20"/>
      <c r="C323" s="36"/>
      <c r="D323" s="36"/>
      <c r="E323" s="36"/>
      <c r="F323" s="36"/>
      <c r="H323" s="36"/>
      <c r="I323" s="36"/>
      <c r="J323" s="36"/>
      <c r="K323" s="36"/>
      <c r="L323" s="36"/>
      <c r="M323" s="36"/>
      <c r="O323" s="8"/>
      <c r="P323" s="8"/>
    </row>
    <row r="324" spans="1:16" ht="12.75">
      <c r="A324" s="45">
        <v>1431</v>
      </c>
      <c r="B324" s="20"/>
      <c r="C324" s="34">
        <v>607.382</v>
      </c>
      <c r="D324" s="34">
        <v>9926.776</v>
      </c>
      <c r="E324" s="34">
        <f>C324+D324</f>
        <v>10534.158</v>
      </c>
      <c r="F324" s="34">
        <f>4.63433805988442*E324</f>
        <v>48818.84934823593</v>
      </c>
      <c r="H324" s="36"/>
      <c r="I324" s="34">
        <v>301.909</v>
      </c>
      <c r="J324" s="34">
        <v>42.167</v>
      </c>
      <c r="K324" s="34">
        <f>I324+J324</f>
        <v>344.076</v>
      </c>
      <c r="L324" s="34">
        <f>47.8800721021218*K324</f>
        <v>16474.38368860966</v>
      </c>
      <c r="M324" s="34">
        <f>F324+L324</f>
        <v>65293.233036845595</v>
      </c>
      <c r="O324" s="4">
        <f>F324/M324</f>
        <v>0.7476862008148224</v>
      </c>
      <c r="P324" s="4">
        <f>L324/M324</f>
        <v>0.25231379918517755</v>
      </c>
    </row>
    <row r="325" spans="1:16" ht="12.75">
      <c r="A325" s="45">
        <v>1432</v>
      </c>
      <c r="B325" s="20"/>
      <c r="C325" s="34">
        <v>474.796</v>
      </c>
      <c r="D325" s="34">
        <v>9662.221</v>
      </c>
      <c r="E325" s="34">
        <f>C325+D325</f>
        <v>10137.017</v>
      </c>
      <c r="F325" s="34">
        <f>4.63433805988442*E325</f>
        <v>46978.36369679538</v>
      </c>
      <c r="H325" s="36"/>
      <c r="I325" s="34">
        <v>227.479</v>
      </c>
      <c r="J325" s="34"/>
      <c r="K325" s="34">
        <f>I325+J325</f>
        <v>227.479</v>
      </c>
      <c r="L325" s="34">
        <f>47.8800721021218*K325</f>
        <v>10891.710921718566</v>
      </c>
      <c r="M325" s="34">
        <f>F325+L325</f>
        <v>57870.07461851394</v>
      </c>
      <c r="O325" s="4">
        <f>F325/M325</f>
        <v>0.8117902734095653</v>
      </c>
      <c r="P325" s="4">
        <f>L325/M325</f>
        <v>0.18820972659043475</v>
      </c>
    </row>
    <row r="326" spans="1:16" ht="12.75">
      <c r="A326" s="45">
        <v>1433</v>
      </c>
      <c r="B326" s="20"/>
      <c r="C326" s="34">
        <v>278.848</v>
      </c>
      <c r="D326" s="34">
        <v>8848.461</v>
      </c>
      <c r="E326" s="34">
        <f>C326+D326</f>
        <v>9127.309</v>
      </c>
      <c r="F326" s="34">
        <f>4.63433805988442*E326</f>
        <v>42299.0354830256</v>
      </c>
      <c r="H326" s="36"/>
      <c r="I326" s="34">
        <v>170.516</v>
      </c>
      <c r="J326" s="34"/>
      <c r="K326" s="34">
        <f>I326+J326</f>
        <v>170.516</v>
      </c>
      <c r="L326" s="34">
        <f>47.8800721021218*K326</f>
        <v>8164.3183745654005</v>
      </c>
      <c r="M326" s="34">
        <f>F326+L326</f>
        <v>50463.353857591</v>
      </c>
      <c r="O326" s="4">
        <f>F326/M326</f>
        <v>0.838212925807402</v>
      </c>
      <c r="P326" s="4">
        <f>L326/M326</f>
        <v>0.161787074192598</v>
      </c>
    </row>
    <row r="327" spans="1:16" ht="12.75">
      <c r="A327" s="45">
        <v>1434</v>
      </c>
      <c r="B327" s="20"/>
      <c r="C327" s="34">
        <v>184.489</v>
      </c>
      <c r="D327" s="34">
        <v>5852.615</v>
      </c>
      <c r="E327" s="34">
        <f>C327+D327</f>
        <v>6037.103999999999</v>
      </c>
      <c r="F327" s="34">
        <f>4.63433805988442*E327</f>
        <v>27977.980838680465</v>
      </c>
      <c r="H327" s="36"/>
      <c r="I327" s="34">
        <v>221.013</v>
      </c>
      <c r="J327" s="34"/>
      <c r="K327" s="34">
        <f>I327+J327</f>
        <v>221.013</v>
      </c>
      <c r="L327" s="34">
        <f>47.8800721021218*K327</f>
        <v>10582.118375506247</v>
      </c>
      <c r="M327" s="34">
        <f>F327+L327</f>
        <v>38560.09921418671</v>
      </c>
      <c r="O327" s="4">
        <f>F327/M327</f>
        <v>0.7255681756230296</v>
      </c>
      <c r="P327" s="4">
        <f>L327/M327</f>
        <v>0.27443182437697056</v>
      </c>
    </row>
    <row r="328" spans="1:16" ht="12.75">
      <c r="A328" s="45">
        <v>1435</v>
      </c>
      <c r="B328" s="20"/>
      <c r="C328" s="34">
        <v>193.308</v>
      </c>
      <c r="D328" s="34">
        <v>4268.829</v>
      </c>
      <c r="E328" s="34">
        <f>C328+D328</f>
        <v>4462.137</v>
      </c>
      <c r="F328" s="34">
        <f>4.63433805988442*E328</f>
        <v>20679.051327518482</v>
      </c>
      <c r="H328" s="36"/>
      <c r="I328" s="34">
        <v>140.839</v>
      </c>
      <c r="J328" s="34"/>
      <c r="K328" s="34">
        <f>I328+J328</f>
        <v>140.839</v>
      </c>
      <c r="L328" s="34">
        <f>47.8800721021218*K328</f>
        <v>6743.381474790733</v>
      </c>
      <c r="M328" s="34">
        <f>F328+L328</f>
        <v>27422.432802309217</v>
      </c>
      <c r="O328" s="4">
        <f>F328/M328</f>
        <v>0.7540925152992669</v>
      </c>
      <c r="P328" s="4">
        <f>L328/M328</f>
        <v>0.245907484700733</v>
      </c>
    </row>
    <row r="329" spans="1:16" ht="12.75">
      <c r="A329" s="45"/>
      <c r="B329" s="20"/>
      <c r="C329" s="36"/>
      <c r="D329" s="36"/>
      <c r="E329" s="36"/>
      <c r="F329" s="36"/>
      <c r="H329" s="36"/>
      <c r="I329" s="36"/>
      <c r="J329" s="36"/>
      <c r="K329" s="36"/>
      <c r="L329" s="36"/>
      <c r="M329" s="36"/>
      <c r="O329" s="8"/>
      <c r="P329" s="8"/>
    </row>
    <row r="330" spans="1:16" ht="12.75">
      <c r="A330" s="45" t="s">
        <v>70</v>
      </c>
      <c r="B330" s="20"/>
      <c r="C330" s="36">
        <f>SUM(C324:C329)/5</f>
        <v>347.7646</v>
      </c>
      <c r="D330" s="36">
        <f>SUM(D324:D329)/5</f>
        <v>7711.780399999999</v>
      </c>
      <c r="E330" s="36">
        <f>SUM(E324:E329)/5</f>
        <v>8059.545</v>
      </c>
      <c r="F330" s="36">
        <f>SUM(F324:F329)/5</f>
        <v>37350.65613885117</v>
      </c>
      <c r="H330" s="36"/>
      <c r="I330" s="36">
        <f>SUM(I324:I329)/5</f>
        <v>212.3512</v>
      </c>
      <c r="J330" s="36">
        <f>SUM(J324:J329)/5</f>
        <v>8.4334</v>
      </c>
      <c r="K330" s="36">
        <f>SUM(K324:K329)/5</f>
        <v>220.7846</v>
      </c>
      <c r="L330" s="36">
        <f>SUM(L324:L329)/5</f>
        <v>10571.18256703812</v>
      </c>
      <c r="M330" s="36">
        <f>SUM(M324:M329)/5</f>
        <v>47921.83870588929</v>
      </c>
      <c r="O330" s="4">
        <f>F330/M330</f>
        <v>0.7794078263165851</v>
      </c>
      <c r="P330" s="4">
        <f>L330/M330</f>
        <v>0.2205921736834148</v>
      </c>
    </row>
    <row r="331" spans="1:16" ht="12.75">
      <c r="A331" s="45"/>
      <c r="B331" s="20"/>
      <c r="C331" s="36"/>
      <c r="D331" s="36"/>
      <c r="E331" s="36"/>
      <c r="F331" s="36"/>
      <c r="H331" s="36"/>
      <c r="I331" s="36"/>
      <c r="J331" s="36"/>
      <c r="K331" s="36"/>
      <c r="L331" s="36"/>
      <c r="M331" s="36"/>
      <c r="O331" s="8"/>
      <c r="P331" s="8"/>
    </row>
    <row r="332" spans="1:16" ht="12.75">
      <c r="A332" s="45">
        <v>1436</v>
      </c>
      <c r="B332" s="20"/>
      <c r="C332" s="34">
        <v>93.505</v>
      </c>
      <c r="D332" s="34">
        <v>2096.066</v>
      </c>
      <c r="E332" s="34">
        <f>C332+D332</f>
        <v>2189.571</v>
      </c>
      <c r="F332" s="34">
        <f>4.63433805988442*E332</f>
        <v>10147.212220119189</v>
      </c>
      <c r="H332" s="36"/>
      <c r="I332" s="34">
        <v>139.589</v>
      </c>
      <c r="J332" s="34"/>
      <c r="K332" s="34">
        <f>I332+J332</f>
        <v>139.589</v>
      </c>
      <c r="L332" s="34">
        <f>47.8800721021218*K332</f>
        <v>6683.53138466308</v>
      </c>
      <c r="M332" s="34">
        <f>F332+L332</f>
        <v>16830.74360478227</v>
      </c>
      <c r="O332" s="4">
        <f>F332/M332</f>
        <v>0.6028974392572869</v>
      </c>
      <c r="P332" s="4">
        <f>L332/M332</f>
        <v>0.397102560742713</v>
      </c>
    </row>
    <row r="333" spans="1:16" ht="12.75">
      <c r="A333" s="45">
        <v>1437</v>
      </c>
      <c r="B333" s="20"/>
      <c r="C333" s="34">
        <v>177.062</v>
      </c>
      <c r="D333" s="34"/>
      <c r="E333" s="34">
        <f>C333+D333</f>
        <v>177.062</v>
      </c>
      <c r="F333" s="34">
        <f>4.63433805988442*E333</f>
        <v>820.5651655592552</v>
      </c>
      <c r="H333" s="36"/>
      <c r="I333" s="34">
        <v>118.272</v>
      </c>
      <c r="J333" s="34"/>
      <c r="K333" s="34">
        <f>I333+J333</f>
        <v>118.272</v>
      </c>
      <c r="L333" s="34">
        <f>47.8800721021218*K333</f>
        <v>5662.87188766215</v>
      </c>
      <c r="M333" s="34">
        <f>F333+L333</f>
        <v>6483.437053221405</v>
      </c>
      <c r="O333" s="4">
        <f>F333/M333</f>
        <v>0.1265632964156787</v>
      </c>
      <c r="P333" s="4">
        <f>L333/M333</f>
        <v>0.8734367035843212</v>
      </c>
    </row>
    <row r="334" spans="1:16" ht="12.75">
      <c r="A334" s="45">
        <v>1438</v>
      </c>
      <c r="B334" s="20"/>
      <c r="C334" s="34">
        <v>478.264</v>
      </c>
      <c r="D334" s="34"/>
      <c r="E334" s="34">
        <f>C334+D334</f>
        <v>478.264</v>
      </c>
      <c r="F334" s="34">
        <f>4.63433805988442*E334</f>
        <v>2216.437057872562</v>
      </c>
      <c r="H334" s="36"/>
      <c r="I334" s="34">
        <v>109.682</v>
      </c>
      <c r="J334" s="34"/>
      <c r="K334" s="34">
        <f>I334+J334</f>
        <v>109.682</v>
      </c>
      <c r="L334" s="34">
        <f>47.8800721021218*K334</f>
        <v>5251.582068304923</v>
      </c>
      <c r="M334" s="34">
        <f>F334+L334</f>
        <v>7468.019126177485</v>
      </c>
      <c r="O334" s="4">
        <f>F334/M334</f>
        <v>0.2967904902791871</v>
      </c>
      <c r="P334" s="4">
        <f>L334/M334</f>
        <v>0.703209509720813</v>
      </c>
    </row>
    <row r="335" spans="1:16" ht="12.75">
      <c r="A335" s="45">
        <v>1439</v>
      </c>
      <c r="B335" s="20"/>
      <c r="C335" s="34">
        <v>1142.522</v>
      </c>
      <c r="D335" s="34">
        <v>126.13000000000001</v>
      </c>
      <c r="E335" s="34">
        <f>C335+D335</f>
        <v>1268.652</v>
      </c>
      <c r="F335" s="34">
        <f>4.63433805988442*E335</f>
        <v>5879.362248348489</v>
      </c>
      <c r="H335" s="36"/>
      <c r="I335" s="34">
        <v>156.324</v>
      </c>
      <c r="J335" s="34"/>
      <c r="K335" s="34">
        <f>I335+J335</f>
        <v>156.324</v>
      </c>
      <c r="L335" s="34">
        <f>47.8800721021218*K335</f>
        <v>7484.804391292089</v>
      </c>
      <c r="M335" s="34">
        <f>F335+L335</f>
        <v>13364.166639640578</v>
      </c>
      <c r="O335" s="4">
        <f>F335/M335</f>
        <v>0.43993482024604647</v>
      </c>
      <c r="P335" s="4">
        <f>L335/M335</f>
        <v>0.5600651797539535</v>
      </c>
    </row>
    <row r="336" spans="1:16" ht="12.75">
      <c r="A336" s="45">
        <v>1440</v>
      </c>
      <c r="B336" s="20"/>
      <c r="C336" s="34">
        <v>771.575</v>
      </c>
      <c r="D336" s="34"/>
      <c r="E336" s="34">
        <f>C336+D336</f>
        <v>771.575</v>
      </c>
      <c r="F336" s="34">
        <f>4.63433805988442*E336</f>
        <v>3575.7393885553215</v>
      </c>
      <c r="H336" s="36"/>
      <c r="I336" s="34">
        <v>137.504</v>
      </c>
      <c r="J336" s="34"/>
      <c r="K336" s="34">
        <f>I336+J336</f>
        <v>137.504</v>
      </c>
      <c r="L336" s="34">
        <f>47.8800721021218*K336</f>
        <v>6583.701434330155</v>
      </c>
      <c r="M336" s="34">
        <f>F336+L336</f>
        <v>10159.440822885477</v>
      </c>
      <c r="O336" s="4">
        <f>F336/M336</f>
        <v>0.3519622241905773</v>
      </c>
      <c r="P336" s="4">
        <f>L336/M336</f>
        <v>0.6480377758094227</v>
      </c>
    </row>
    <row r="337" spans="1:16" ht="12.75">
      <c r="A337" s="45"/>
      <c r="B337" s="20"/>
      <c r="C337" s="36"/>
      <c r="D337" s="36"/>
      <c r="E337" s="36"/>
      <c r="F337" s="36"/>
      <c r="H337" s="36"/>
      <c r="I337" s="36"/>
      <c r="J337" s="36"/>
      <c r="K337" s="36"/>
      <c r="L337" s="36"/>
      <c r="M337" s="36"/>
      <c r="O337" s="8"/>
      <c r="P337" s="8"/>
    </row>
    <row r="338" spans="1:16" ht="12.75">
      <c r="A338" s="45" t="s">
        <v>71</v>
      </c>
      <c r="B338" s="20"/>
      <c r="C338" s="36">
        <f>SUM(C332:C337)/5</f>
        <v>532.5856</v>
      </c>
      <c r="D338" s="36">
        <f>SUM(D332:D337)/5</f>
        <v>444.43919999999997</v>
      </c>
      <c r="E338" s="36">
        <f>SUM(E332:E337)/5</f>
        <v>977.0247999999999</v>
      </c>
      <c r="F338" s="36">
        <f>SUM(F332:F337)/5</f>
        <v>4527.863216090963</v>
      </c>
      <c r="H338" s="36"/>
      <c r="I338" s="36">
        <f>SUM(I332:I337)/5</f>
        <v>132.2742</v>
      </c>
      <c r="J338" s="36">
        <f>SUM(J332:J337)/5</f>
        <v>0</v>
      </c>
      <c r="K338" s="36">
        <f>SUM(K332:K337)/5</f>
        <v>132.2742</v>
      </c>
      <c r="L338" s="36">
        <f>SUM(L332:L337)/5</f>
        <v>6333.298233250479</v>
      </c>
      <c r="M338" s="36">
        <f>SUM(M332:M337)/5</f>
        <v>10861.161449341444</v>
      </c>
      <c r="O338" s="4">
        <f>F338/M338</f>
        <v>0.41688572969012494</v>
      </c>
      <c r="P338" s="4">
        <f>L338/M338</f>
        <v>0.5831142703098748</v>
      </c>
    </row>
    <row r="339" spans="1:16" ht="12.75">
      <c r="A339" s="45"/>
      <c r="B339" s="20"/>
      <c r="C339" s="36"/>
      <c r="D339" s="36"/>
      <c r="E339" s="36"/>
      <c r="F339" s="36"/>
      <c r="H339" s="36"/>
      <c r="I339" s="36"/>
      <c r="J339" s="36"/>
      <c r="K339" s="36"/>
      <c r="L339" s="36"/>
      <c r="M339" s="36"/>
      <c r="O339" s="8"/>
      <c r="P339" s="8"/>
    </row>
    <row r="340" spans="1:16" ht="12.75">
      <c r="A340" s="45">
        <v>1441</v>
      </c>
      <c r="B340" s="20"/>
      <c r="C340" s="34">
        <v>396.363</v>
      </c>
      <c r="D340" s="34"/>
      <c r="E340" s="34">
        <f>C340+D340</f>
        <v>396.363</v>
      </c>
      <c r="F340" s="34">
        <f>4.63433805988442*E340</f>
        <v>1836.8801364299682</v>
      </c>
      <c r="H340" s="36"/>
      <c r="I340" s="34">
        <v>116.686</v>
      </c>
      <c r="J340" s="34"/>
      <c r="K340" s="34">
        <f>I340+J340</f>
        <v>116.686</v>
      </c>
      <c r="L340" s="34">
        <f>47.8800721021218*K340</f>
        <v>5586.934093308185</v>
      </c>
      <c r="M340" s="34">
        <f>F340+L340</f>
        <v>7423.814229738153</v>
      </c>
      <c r="O340" s="4">
        <f>F340/M340</f>
        <v>0.24743077878644024</v>
      </c>
      <c r="P340" s="4">
        <f>L340/M340</f>
        <v>0.7525692212135597</v>
      </c>
    </row>
    <row r="341" spans="1:16" ht="12.75">
      <c r="A341" s="45">
        <v>1442</v>
      </c>
      <c r="B341" s="20"/>
      <c r="C341" s="34">
        <v>69.825</v>
      </c>
      <c r="D341" s="34"/>
      <c r="E341" s="34">
        <f>C341+D341</f>
        <v>69.825</v>
      </c>
      <c r="F341" s="34">
        <f>4.63433805988442*E341</f>
        <v>323.5926550314296</v>
      </c>
      <c r="H341" s="36"/>
      <c r="I341" s="34">
        <v>97.985</v>
      </c>
      <c r="J341" s="34"/>
      <c r="K341" s="34">
        <f>I341+J341</f>
        <v>97.985</v>
      </c>
      <c r="L341" s="34">
        <f>47.8800721021218*K341</f>
        <v>4691.528864926405</v>
      </c>
      <c r="M341" s="34">
        <f>F341+L341</f>
        <v>5015.121519957835</v>
      </c>
      <c r="O341" s="4">
        <f>F341/M341</f>
        <v>0.06452339265233802</v>
      </c>
      <c r="P341" s="4">
        <f>L341/M341</f>
        <v>0.9354766073476619</v>
      </c>
    </row>
    <row r="342" spans="1:16" ht="12.75">
      <c r="A342" s="45">
        <v>1443</v>
      </c>
      <c r="B342" s="20"/>
      <c r="C342" s="34">
        <v>69.825</v>
      </c>
      <c r="D342" s="34"/>
      <c r="E342" s="34">
        <f>C342+D342</f>
        <v>69.825</v>
      </c>
      <c r="F342" s="34">
        <f>4.63433805988442*E342</f>
        <v>323.5926550314296</v>
      </c>
      <c r="H342" s="36"/>
      <c r="I342" s="34">
        <v>97.985</v>
      </c>
      <c r="J342" s="34"/>
      <c r="K342" s="34">
        <f>I342+J342</f>
        <v>97.985</v>
      </c>
      <c r="L342" s="34">
        <f>47.8800721021218*K342</f>
        <v>4691.528864926405</v>
      </c>
      <c r="M342" s="34">
        <f>F342+L342</f>
        <v>5015.121519957835</v>
      </c>
      <c r="O342" s="4">
        <f>F342/M342</f>
        <v>0.06452339265233802</v>
      </c>
      <c r="P342" s="4">
        <f>L342/M342</f>
        <v>0.9354766073476619</v>
      </c>
    </row>
    <row r="343" spans="1:16" ht="12.75">
      <c r="A343" s="45">
        <v>1444</v>
      </c>
      <c r="B343" s="20"/>
      <c r="C343" s="34">
        <v>50.405</v>
      </c>
      <c r="D343" s="34"/>
      <c r="E343" s="34">
        <f>C343+D343</f>
        <v>50.405</v>
      </c>
      <c r="F343" s="34">
        <f>4.63433805988442*E343</f>
        <v>233.59380990847419</v>
      </c>
      <c r="H343" s="36"/>
      <c r="I343" s="34">
        <v>84.839</v>
      </c>
      <c r="J343" s="34"/>
      <c r="K343" s="34">
        <f>I343+J343</f>
        <v>84.839</v>
      </c>
      <c r="L343" s="34">
        <f>47.8800721021218*K343</f>
        <v>4062.0974370719114</v>
      </c>
      <c r="M343" s="34">
        <f>F343+L343</f>
        <v>4295.691246980386</v>
      </c>
      <c r="O343" s="4">
        <f>F343/M343</f>
        <v>0.05437863116272071</v>
      </c>
      <c r="P343" s="4">
        <f>L343/M343</f>
        <v>0.9456213688372793</v>
      </c>
    </row>
    <row r="344" spans="1:16" ht="12.75">
      <c r="A344" s="45">
        <v>1445</v>
      </c>
      <c r="B344" s="20"/>
      <c r="C344" s="34">
        <v>67.081</v>
      </c>
      <c r="D344" s="34"/>
      <c r="E344" s="34">
        <f>C344+D344</f>
        <v>67.081</v>
      </c>
      <c r="F344" s="34">
        <f>4.63433805988442*E344</f>
        <v>310.8760313951068</v>
      </c>
      <c r="H344" s="36"/>
      <c r="I344" s="34">
        <v>56.396</v>
      </c>
      <c r="J344" s="34"/>
      <c r="K344" s="34">
        <f>I344+J344</f>
        <v>56.396</v>
      </c>
      <c r="L344" s="34">
        <f>47.8800721021218*K344</f>
        <v>2700.2445462712612</v>
      </c>
      <c r="M344" s="34">
        <f>F344+L344</f>
        <v>3011.1205776663683</v>
      </c>
      <c r="O344" s="4">
        <f>F344/M344</f>
        <v>0.10324263787404923</v>
      </c>
      <c r="P344" s="4">
        <f>L344/M344</f>
        <v>0.8967573621259507</v>
      </c>
    </row>
    <row r="345" spans="1:16" ht="12.75">
      <c r="A345" s="45"/>
      <c r="B345" s="20"/>
      <c r="C345" s="36"/>
      <c r="D345" s="36"/>
      <c r="E345" s="36"/>
      <c r="F345" s="36"/>
      <c r="H345" s="36"/>
      <c r="I345" s="36"/>
      <c r="J345" s="36"/>
      <c r="K345" s="36"/>
      <c r="L345" s="36"/>
      <c r="M345" s="36"/>
      <c r="O345" s="8"/>
      <c r="P345" s="8"/>
    </row>
    <row r="346" spans="1:16" ht="12.75">
      <c r="A346" s="45" t="s">
        <v>73</v>
      </c>
      <c r="B346" s="20"/>
      <c r="C346" s="36">
        <f>SUM(C340:C345)/5</f>
        <v>130.6998</v>
      </c>
      <c r="D346" s="36">
        <f>SUM(D340:D345)/5</f>
        <v>0</v>
      </c>
      <c r="E346" s="36">
        <f>SUM(E340:E345)/5</f>
        <v>130.6998</v>
      </c>
      <c r="F346" s="36">
        <f>SUM(F340:F345)/5</f>
        <v>605.7070575592818</v>
      </c>
      <c r="H346" s="36"/>
      <c r="I346" s="36">
        <f>SUM(I340:I345)/5</f>
        <v>90.7782</v>
      </c>
      <c r="J346" s="36">
        <f>SUM(J340:J345)/5</f>
        <v>0</v>
      </c>
      <c r="K346" s="36">
        <f>SUM(K340:K345)/5</f>
        <v>90.7782</v>
      </c>
      <c r="L346" s="36">
        <f>SUM(L340:L345)/5</f>
        <v>4346.466761300833</v>
      </c>
      <c r="M346" s="36">
        <f>SUM(M340:M345)/5</f>
        <v>4952.173818860116</v>
      </c>
      <c r="O346" s="4">
        <f>F346/M346</f>
        <v>0.12231134845317336</v>
      </c>
      <c r="P346" s="4">
        <f>L346/M346</f>
        <v>0.8776886515468265</v>
      </c>
    </row>
    <row r="347" spans="1:16" ht="12.75">
      <c r="A347" s="45"/>
      <c r="B347" s="20"/>
      <c r="C347" s="36"/>
      <c r="D347" s="36"/>
      <c r="E347" s="36"/>
      <c r="F347" s="36"/>
      <c r="H347" s="36"/>
      <c r="I347" s="36"/>
      <c r="J347" s="36"/>
      <c r="K347" s="36"/>
      <c r="L347" s="36"/>
      <c r="M347" s="36"/>
      <c r="O347" s="8"/>
      <c r="P347" s="8"/>
    </row>
    <row r="348" spans="1:16" ht="12.75">
      <c r="A348" s="45">
        <v>1446</v>
      </c>
      <c r="B348" s="20"/>
      <c r="C348" s="34">
        <v>439.566</v>
      </c>
      <c r="D348" s="34"/>
      <c r="E348" s="34">
        <f>C348+D348</f>
        <v>439.566</v>
      </c>
      <c r="F348" s="34">
        <f>4.63433805988442*E348</f>
        <v>2037.0974436311546</v>
      </c>
      <c r="H348" s="36"/>
      <c r="I348" s="34">
        <v>56.042</v>
      </c>
      <c r="J348" s="34"/>
      <c r="K348" s="34">
        <f>I348+J348</f>
        <v>56.042</v>
      </c>
      <c r="L348" s="34">
        <f>47.8800721021218*K348</f>
        <v>2683.29500074711</v>
      </c>
      <c r="M348" s="34">
        <f>F348+L348</f>
        <v>4720.392444378264</v>
      </c>
      <c r="O348" s="4">
        <f>F348/M348</f>
        <v>0.43155256001166364</v>
      </c>
      <c r="P348" s="4">
        <f>L348/M348</f>
        <v>0.5684474399883364</v>
      </c>
    </row>
    <row r="349" spans="1:16" ht="12.75">
      <c r="A349" s="45">
        <v>1447</v>
      </c>
      <c r="B349" s="20"/>
      <c r="C349" s="34">
        <v>398.999</v>
      </c>
      <c r="D349" s="34"/>
      <c r="E349" s="34">
        <f>C349+D349</f>
        <v>398.999</v>
      </c>
      <c r="F349" s="34">
        <f>4.63433805988442*E349</f>
        <v>1849.0962515558238</v>
      </c>
      <c r="H349" s="36"/>
      <c r="I349" s="34">
        <v>47.595</v>
      </c>
      <c r="J349" s="34"/>
      <c r="K349" s="34">
        <f>I349+J349</f>
        <v>47.595</v>
      </c>
      <c r="L349" s="34">
        <f>47.8800721021218*K349</f>
        <v>2278.8520317004873</v>
      </c>
      <c r="M349" s="34">
        <f>F349+L349</f>
        <v>4127.948283256311</v>
      </c>
      <c r="O349" s="4">
        <f>F349/M349</f>
        <v>0.44794559540779266</v>
      </c>
      <c r="P349" s="4">
        <f>L349/M349</f>
        <v>0.5520544045922073</v>
      </c>
    </row>
    <row r="350" spans="1:16" ht="12.75">
      <c r="A350" s="45">
        <v>1448</v>
      </c>
      <c r="B350" s="20"/>
      <c r="C350" s="34">
        <v>67.743</v>
      </c>
      <c r="D350" s="34"/>
      <c r="E350" s="34">
        <f>C350+D350</f>
        <v>67.743</v>
      </c>
      <c r="F350" s="34">
        <f>4.63433805988442*E350</f>
        <v>313.9439631907502</v>
      </c>
      <c r="H350" s="36"/>
      <c r="I350" s="34">
        <v>37.113</v>
      </c>
      <c r="J350" s="34"/>
      <c r="K350" s="34">
        <f>I350+J350</f>
        <v>37.113</v>
      </c>
      <c r="L350" s="34">
        <f>47.8800721021218*K350</f>
        <v>1776.9731159260464</v>
      </c>
      <c r="M350" s="34">
        <f>F350+L350</f>
        <v>2090.9170791167967</v>
      </c>
      <c r="O350" s="4">
        <f>F350/M350</f>
        <v>0.15014653920343896</v>
      </c>
      <c r="P350" s="4">
        <f>L350/M350</f>
        <v>0.849853460796561</v>
      </c>
    </row>
    <row r="351" spans="1:16" ht="12.75">
      <c r="A351" s="45">
        <v>1449</v>
      </c>
      <c r="B351" s="20"/>
      <c r="C351" s="34">
        <v>175.173</v>
      </c>
      <c r="D351" s="34"/>
      <c r="E351" s="34">
        <f>C351+D351</f>
        <v>175.173</v>
      </c>
      <c r="F351" s="34">
        <f>4.63433805988442*E351</f>
        <v>811.8109009641335</v>
      </c>
      <c r="H351" s="36"/>
      <c r="I351" s="34">
        <v>55.026</v>
      </c>
      <c r="J351" s="34"/>
      <c r="K351" s="34">
        <f>I351+J351</f>
        <v>55.026</v>
      </c>
      <c r="L351" s="34">
        <f>47.8800721021218*K351</f>
        <v>2634.6488474913544</v>
      </c>
      <c r="M351" s="34">
        <f>F351+L351</f>
        <v>3446.459748455488</v>
      </c>
      <c r="O351" s="4">
        <f>F351/M351</f>
        <v>0.23554921868097897</v>
      </c>
      <c r="P351" s="4">
        <f>L351/M351</f>
        <v>0.764450781319021</v>
      </c>
    </row>
    <row r="352" spans="1:16" ht="12.75">
      <c r="A352" s="45">
        <v>1450</v>
      </c>
      <c r="B352" s="20"/>
      <c r="C352" s="34">
        <v>1505.384</v>
      </c>
      <c r="D352" s="34"/>
      <c r="E352" s="34">
        <f>C352+D352</f>
        <v>1505.384</v>
      </c>
      <c r="F352" s="34">
        <f>4.63433805988442*E352</f>
        <v>6976.458365941047</v>
      </c>
      <c r="H352" s="36"/>
      <c r="I352" s="34">
        <v>125.905</v>
      </c>
      <c r="J352" s="34"/>
      <c r="K352" s="34">
        <f>I352+J352</f>
        <v>125.905</v>
      </c>
      <c r="L352" s="34">
        <f>47.8800721021218*K352</f>
        <v>6028.340478017645</v>
      </c>
      <c r="M352" s="34">
        <f>F352+L352</f>
        <v>13004.798843958692</v>
      </c>
      <c r="O352" s="4">
        <f>F352/M352</f>
        <v>0.5364526164264296</v>
      </c>
      <c r="P352" s="4">
        <f>L352/M352</f>
        <v>0.46354738357357045</v>
      </c>
    </row>
    <row r="353" spans="1:16" ht="12.75">
      <c r="A353" s="45"/>
      <c r="B353" s="20"/>
      <c r="C353" s="36"/>
      <c r="D353" s="36"/>
      <c r="E353" s="36"/>
      <c r="F353" s="36"/>
      <c r="H353" s="36"/>
      <c r="I353" s="36"/>
      <c r="J353" s="36"/>
      <c r="K353" s="36"/>
      <c r="L353" s="36"/>
      <c r="M353" s="36"/>
      <c r="O353" s="8"/>
      <c r="P353" s="8"/>
    </row>
    <row r="354" spans="1:16" ht="12.75">
      <c r="A354" s="45" t="s">
        <v>74</v>
      </c>
      <c r="B354" s="20"/>
      <c r="C354" s="36">
        <f>SUM(C348:C353)/5</f>
        <v>517.3729999999999</v>
      </c>
      <c r="D354" s="36">
        <f>SUM(D348:D353)/5</f>
        <v>0</v>
      </c>
      <c r="E354" s="36">
        <f>SUM(E348:E353)/5</f>
        <v>517.3729999999999</v>
      </c>
      <c r="F354" s="36">
        <f>SUM(F348:F353)/5</f>
        <v>2397.681385056582</v>
      </c>
      <c r="H354" s="36"/>
      <c r="I354" s="36">
        <f>SUM(I348:I353)/5</f>
        <v>64.3362</v>
      </c>
      <c r="J354" s="36">
        <f>SUM(J348:J353)/5</f>
        <v>0</v>
      </c>
      <c r="K354" s="36">
        <f>SUM(K348:K353)/5</f>
        <v>64.3362</v>
      </c>
      <c r="L354" s="36">
        <f>SUM(L348:L353)/5</f>
        <v>3080.4218947765285</v>
      </c>
      <c r="M354" s="36">
        <f>SUM(M348:M353)/5</f>
        <v>5478.10327983311</v>
      </c>
      <c r="O354" s="4">
        <f>F354/M354</f>
        <v>0.4376845894606111</v>
      </c>
      <c r="P354" s="4">
        <f>L354/M354</f>
        <v>0.5623154105393889</v>
      </c>
    </row>
    <row r="355" spans="1:16" ht="12.75">
      <c r="A355" s="45"/>
      <c r="B355" s="20"/>
      <c r="C355" s="36"/>
      <c r="D355" s="36"/>
      <c r="E355" s="36"/>
      <c r="F355" s="36"/>
      <c r="H355" s="36"/>
      <c r="I355" s="36"/>
      <c r="J355" s="36"/>
      <c r="K355" s="36"/>
      <c r="L355" s="36"/>
      <c r="M355" s="36"/>
      <c r="O355" s="8"/>
      <c r="P355" s="8"/>
    </row>
    <row r="356" spans="1:16" ht="12.75">
      <c r="A356" s="45">
        <v>1451</v>
      </c>
      <c r="B356" s="20"/>
      <c r="C356" s="34">
        <v>2290.029</v>
      </c>
      <c r="D356" s="34"/>
      <c r="E356" s="34">
        <f>C356+D356</f>
        <v>2290.029</v>
      </c>
      <c r="F356" s="34">
        <f>4.63433805988442*E356</f>
        <v>10612.768552939058</v>
      </c>
      <c r="H356" s="36"/>
      <c r="I356" s="34">
        <v>94.749</v>
      </c>
      <c r="J356" s="34"/>
      <c r="K356" s="34">
        <f>I356+J356</f>
        <v>94.749</v>
      </c>
      <c r="L356" s="34">
        <f>47.8800721021218*K356</f>
        <v>4536.588951603938</v>
      </c>
      <c r="M356" s="34">
        <f>F356+L356</f>
        <v>15149.357504542997</v>
      </c>
      <c r="O356" s="4">
        <f>F356/M356</f>
        <v>0.7005424850365104</v>
      </c>
      <c r="P356" s="4">
        <f>L356/M356</f>
        <v>0.2994575149634896</v>
      </c>
    </row>
    <row r="357" spans="1:16" ht="12.75">
      <c r="A357" s="45">
        <v>1452</v>
      </c>
      <c r="B357" s="20"/>
      <c r="C357" s="34">
        <v>1847.158</v>
      </c>
      <c r="D357" s="34"/>
      <c r="E357" s="34">
        <f>C357+D357</f>
        <v>1847.158</v>
      </c>
      <c r="F357" s="34">
        <f>4.63433805988442*E357</f>
        <v>8560.354622019984</v>
      </c>
      <c r="H357" s="36"/>
      <c r="I357" s="34">
        <v>94.181</v>
      </c>
      <c r="J357" s="34"/>
      <c r="K357" s="34">
        <f>I357+J357</f>
        <v>94.181</v>
      </c>
      <c r="L357" s="34">
        <f>47.8800721021218*K357</f>
        <v>4509.393070649933</v>
      </c>
      <c r="M357" s="34">
        <f>F357+L357</f>
        <v>13069.747692669916</v>
      </c>
      <c r="O357" s="4">
        <f>F357/M357</f>
        <v>0.654974741924131</v>
      </c>
      <c r="P357" s="4">
        <f>L357/M357</f>
        <v>0.34502525807586915</v>
      </c>
    </row>
    <row r="358" spans="1:16" ht="12.75">
      <c r="A358" s="45">
        <v>1453</v>
      </c>
      <c r="B358" s="20"/>
      <c r="C358" s="34">
        <v>1230.161</v>
      </c>
      <c r="D358" s="34"/>
      <c r="E358" s="34">
        <f>C358+D358</f>
        <v>1230.161</v>
      </c>
      <c r="F358" s="34">
        <f>4.63433805988442*E358</f>
        <v>5700.981942085478</v>
      </c>
      <c r="H358" s="36"/>
      <c r="I358" s="34">
        <v>67.147</v>
      </c>
      <c r="J358" s="34"/>
      <c r="K358" s="34">
        <f>I358+J358</f>
        <v>67.147</v>
      </c>
      <c r="L358" s="34">
        <f>47.8800721021218*K358</f>
        <v>3215.0032014411727</v>
      </c>
      <c r="M358" s="34">
        <f>F358+L358</f>
        <v>8915.98514352665</v>
      </c>
      <c r="O358" s="4">
        <f>F358/M358</f>
        <v>0.639411332602389</v>
      </c>
      <c r="P358" s="4">
        <f>L358/M358</f>
        <v>0.36058866739761103</v>
      </c>
    </row>
    <row r="359" spans="1:16" ht="12.75">
      <c r="A359" s="45">
        <v>1454</v>
      </c>
      <c r="B359" s="20"/>
      <c r="C359" s="34">
        <v>1020.099</v>
      </c>
      <c r="D359" s="34"/>
      <c r="E359" s="34">
        <f>C359+D359</f>
        <v>1020.099</v>
      </c>
      <c r="F359" s="34">
        <f>4.63433805988442*E359</f>
        <v>4727.483620550037</v>
      </c>
      <c r="H359" s="36"/>
      <c r="I359" s="34">
        <v>34.635</v>
      </c>
      <c r="J359" s="34"/>
      <c r="K359" s="34">
        <f>I359+J359</f>
        <v>34.635</v>
      </c>
      <c r="L359" s="34">
        <f>47.8800721021218*K359</f>
        <v>1658.3262972569885</v>
      </c>
      <c r="M359" s="34">
        <f>F359+L359</f>
        <v>6385.809917807025</v>
      </c>
      <c r="O359" s="4">
        <f>F359/M359</f>
        <v>0.7403107329216463</v>
      </c>
      <c r="P359" s="4">
        <f>L359/M359</f>
        <v>0.2596892670783537</v>
      </c>
    </row>
    <row r="360" spans="1:16" ht="12.75">
      <c r="A360" s="45">
        <v>1455</v>
      </c>
      <c r="B360" s="20"/>
      <c r="C360" s="34">
        <v>915.737</v>
      </c>
      <c r="D360" s="34"/>
      <c r="E360" s="34">
        <f>C360+D360</f>
        <v>915.737</v>
      </c>
      <c r="F360" s="34">
        <f>4.63433805988442*E360</f>
        <v>4243.8348319443785</v>
      </c>
      <c r="H360" s="36"/>
      <c r="I360" s="34">
        <v>26.918</v>
      </c>
      <c r="J360" s="34"/>
      <c r="K360" s="34">
        <f>I360+J360</f>
        <v>26.918</v>
      </c>
      <c r="L360" s="34">
        <f>47.8800721021218*K360</f>
        <v>1288.8357808449146</v>
      </c>
      <c r="M360" s="34">
        <f>F360+L360</f>
        <v>5532.670612789293</v>
      </c>
      <c r="O360" s="4">
        <f>F360/M360</f>
        <v>0.767049970792469</v>
      </c>
      <c r="P360" s="4">
        <f>L360/M360</f>
        <v>0.23295002920753105</v>
      </c>
    </row>
    <row r="361" spans="1:16" ht="12.75">
      <c r="A361" s="45"/>
      <c r="B361" s="20"/>
      <c r="C361" s="36"/>
      <c r="D361" s="36"/>
      <c r="E361" s="36"/>
      <c r="F361" s="36"/>
      <c r="H361" s="36"/>
      <c r="I361" s="36"/>
      <c r="J361" s="36"/>
      <c r="K361" s="36"/>
      <c r="L361" s="36"/>
      <c r="M361" s="36"/>
      <c r="O361" s="8"/>
      <c r="P361" s="8"/>
    </row>
    <row r="362" spans="1:16" ht="12.75">
      <c r="A362" s="45" t="s">
        <v>76</v>
      </c>
      <c r="B362" s="20"/>
      <c r="C362" s="36">
        <f>SUM(C356:C361)/5</f>
        <v>1460.6368</v>
      </c>
      <c r="D362" s="36">
        <f>SUM(D356:D361)/5</f>
        <v>0</v>
      </c>
      <c r="E362" s="36">
        <f>SUM(E356:E361)/5</f>
        <v>1460.6368</v>
      </c>
      <c r="F362" s="36">
        <f>SUM(F356:F361)/5</f>
        <v>6769.084713907787</v>
      </c>
      <c r="H362" s="36"/>
      <c r="I362" s="36">
        <f>SUM(I356:I361)/5</f>
        <v>63.525999999999996</v>
      </c>
      <c r="J362" s="36">
        <f>SUM(J356:J361)/5</f>
        <v>0</v>
      </c>
      <c r="K362" s="36">
        <f>SUM(K356:K361)/5</f>
        <v>63.525999999999996</v>
      </c>
      <c r="L362" s="36">
        <f>SUM(L356:L361)/5</f>
        <v>3041.629460359389</v>
      </c>
      <c r="M362" s="36">
        <f>SUM(M356:M361)/5</f>
        <v>9810.714174267177</v>
      </c>
      <c r="O362" s="4">
        <f>F362/M362</f>
        <v>0.6899685989897276</v>
      </c>
      <c r="P362" s="4">
        <f>L362/M362</f>
        <v>0.31003140101027227</v>
      </c>
    </row>
    <row r="363" spans="1:16" ht="12.75">
      <c r="A363" s="45"/>
      <c r="B363" s="20"/>
      <c r="C363" s="36"/>
      <c r="D363" s="36"/>
      <c r="E363" s="36"/>
      <c r="F363" s="36"/>
      <c r="H363" s="36"/>
      <c r="I363" s="36"/>
      <c r="J363" s="36"/>
      <c r="K363" s="36"/>
      <c r="L363" s="36"/>
      <c r="M363" s="36"/>
      <c r="O363" s="8"/>
      <c r="P363" s="8"/>
    </row>
    <row r="364" spans="1:16" ht="12.75">
      <c r="A364" s="45">
        <v>1456</v>
      </c>
      <c r="B364" s="20"/>
      <c r="C364" s="34">
        <v>1177.013</v>
      </c>
      <c r="D364" s="34"/>
      <c r="E364" s="34">
        <f>C364+D364</f>
        <v>1177.013</v>
      </c>
      <c r="F364" s="34">
        <f>4.63433805988442*E364</f>
        <v>5454.67614287874</v>
      </c>
      <c r="H364" s="36"/>
      <c r="I364" s="34">
        <v>28.279</v>
      </c>
      <c r="J364" s="34"/>
      <c r="K364" s="34">
        <f>I364+J364</f>
        <v>28.279</v>
      </c>
      <c r="L364" s="34">
        <f>47.8800721021218*K364</f>
        <v>1354.0005589759023</v>
      </c>
      <c r="M364" s="34">
        <f>F364+L364</f>
        <v>6808.6767018546425</v>
      </c>
      <c r="O364" s="4">
        <f>F364/M364</f>
        <v>0.8011360183092435</v>
      </c>
      <c r="P364" s="4">
        <f>L364/M364</f>
        <v>0.19886398169075656</v>
      </c>
    </row>
    <row r="365" spans="1:16" ht="12.75">
      <c r="A365" s="45">
        <v>1457</v>
      </c>
      <c r="B365" s="20"/>
      <c r="C365" s="34">
        <v>1429.722</v>
      </c>
      <c r="D365" s="34"/>
      <c r="E365" s="34">
        <f>C365+D365</f>
        <v>1429.722</v>
      </c>
      <c r="F365" s="34">
        <f>4.63433805988442*E365</f>
        <v>6625.815079654072</v>
      </c>
      <c r="H365" s="36"/>
      <c r="I365" s="34">
        <v>29.595</v>
      </c>
      <c r="J365" s="34"/>
      <c r="K365" s="34">
        <f>I365+J365</f>
        <v>29.595</v>
      </c>
      <c r="L365" s="34">
        <f>47.8800721021218*K365</f>
        <v>1417.0107338622947</v>
      </c>
      <c r="M365" s="34">
        <f>F365+L365</f>
        <v>8042.825813516367</v>
      </c>
      <c r="O365" s="4">
        <f>F365/M365</f>
        <v>0.8238168068390915</v>
      </c>
      <c r="P365" s="4">
        <f>L365/M365</f>
        <v>0.17618319316090844</v>
      </c>
    </row>
    <row r="366" spans="1:16" ht="12.75">
      <c r="A366" s="45">
        <v>1458</v>
      </c>
      <c r="B366" s="20"/>
      <c r="C366" s="34">
        <v>1184.851</v>
      </c>
      <c r="D366" s="34"/>
      <c r="E366" s="34">
        <f>C366+D366</f>
        <v>1184.851</v>
      </c>
      <c r="F366" s="34">
        <f>4.63433805988442*E366</f>
        <v>5491.000084592115</v>
      </c>
      <c r="H366" s="36"/>
      <c r="I366" s="34">
        <v>29.53</v>
      </c>
      <c r="J366" s="34"/>
      <c r="K366" s="34">
        <f>I366+J366</f>
        <v>29.53</v>
      </c>
      <c r="L366" s="34">
        <f>47.8800721021218*K366</f>
        <v>1413.898529175657</v>
      </c>
      <c r="M366" s="34">
        <f>F366+L366</f>
        <v>6904.898613767772</v>
      </c>
      <c r="O366" s="4">
        <f>F366/M366</f>
        <v>0.7952325431170756</v>
      </c>
      <c r="P366" s="4">
        <f>L366/M366</f>
        <v>0.20476745688292441</v>
      </c>
    </row>
    <row r="367" spans="1:16" ht="12.75">
      <c r="A367" s="45">
        <v>1459</v>
      </c>
      <c r="B367" s="20"/>
      <c r="C367" s="34">
        <v>1004.405</v>
      </c>
      <c r="D367" s="34"/>
      <c r="E367" s="34">
        <f>C367+D367</f>
        <v>1004.405</v>
      </c>
      <c r="F367" s="34">
        <f>4.63433805988442*E367</f>
        <v>4654.752319038211</v>
      </c>
      <c r="H367" s="36"/>
      <c r="I367" s="34">
        <v>6.775</v>
      </c>
      <c r="J367" s="34"/>
      <c r="K367" s="34">
        <f>I367+J367</f>
        <v>6.775</v>
      </c>
      <c r="L367" s="34">
        <f>47.8800721021218*K367</f>
        <v>324.3874884918752</v>
      </c>
      <c r="M367" s="34">
        <f>F367+L367</f>
        <v>4979.139807530086</v>
      </c>
      <c r="O367" s="4">
        <f>F367/M367</f>
        <v>0.9348506969012408</v>
      </c>
      <c r="P367" s="4">
        <f>L367/M367</f>
        <v>0.06514930309875923</v>
      </c>
    </row>
    <row r="368" spans="1:16" ht="12.75">
      <c r="A368" s="45">
        <v>1460</v>
      </c>
      <c r="B368" s="20"/>
      <c r="C368" s="34">
        <v>2279.479</v>
      </c>
      <c r="D368" s="34"/>
      <c r="E368" s="34">
        <f>C368+D368</f>
        <v>2279.479</v>
      </c>
      <c r="F368" s="34">
        <f>4.63433805988442*E368</f>
        <v>10563.876286407276</v>
      </c>
      <c r="H368" s="36"/>
      <c r="I368" s="34">
        <v>39.414</v>
      </c>
      <c r="J368" s="34"/>
      <c r="K368" s="34">
        <f>I368+J368</f>
        <v>39.414</v>
      </c>
      <c r="L368" s="34">
        <f>47.8800721021218*K368</f>
        <v>1887.1451618330286</v>
      </c>
      <c r="M368" s="34">
        <f>F368+L368</f>
        <v>12451.021448240304</v>
      </c>
      <c r="O368" s="4">
        <f>F368/M368</f>
        <v>0.8484345103991658</v>
      </c>
      <c r="P368" s="4">
        <f>L368/M368</f>
        <v>0.15156548960083413</v>
      </c>
    </row>
    <row r="369" spans="1:16" ht="12.75">
      <c r="A369" s="45"/>
      <c r="B369" s="20"/>
      <c r="C369" s="36"/>
      <c r="D369" s="36"/>
      <c r="E369" s="36"/>
      <c r="F369" s="36"/>
      <c r="H369" s="36"/>
      <c r="I369" s="36"/>
      <c r="J369" s="36"/>
      <c r="K369" s="36"/>
      <c r="L369" s="36"/>
      <c r="M369" s="36"/>
      <c r="O369" s="8"/>
      <c r="P369" s="8"/>
    </row>
    <row r="370" spans="1:16" ht="12.75">
      <c r="A370" s="45" t="s">
        <v>78</v>
      </c>
      <c r="B370" s="20"/>
      <c r="C370" s="36">
        <f>SUM(C364:C369)/5</f>
        <v>1415.0939999999998</v>
      </c>
      <c r="D370" s="36">
        <f>SUM(D364:D369)/5</f>
        <v>0</v>
      </c>
      <c r="E370" s="36">
        <f>SUM(E364:E369)/5</f>
        <v>1415.0939999999998</v>
      </c>
      <c r="F370" s="36">
        <f>SUM(F364:F369)/5</f>
        <v>6558.023982514083</v>
      </c>
      <c r="H370" s="36"/>
      <c r="I370" s="36">
        <f>SUM(I364:I369)/5</f>
        <v>26.718600000000002</v>
      </c>
      <c r="J370" s="36">
        <f>SUM(J364:J369)/5</f>
        <v>0</v>
      </c>
      <c r="K370" s="36">
        <f>SUM(K364:K369)/5</f>
        <v>26.718600000000002</v>
      </c>
      <c r="L370" s="36">
        <f>SUM(L364:L369)/5</f>
        <v>1279.2884944677514</v>
      </c>
      <c r="M370" s="36">
        <f>SUM(M364:M369)/5</f>
        <v>7837.312476981834</v>
      </c>
      <c r="O370" s="4">
        <f>F370/M370</f>
        <v>0.8367694923195907</v>
      </c>
      <c r="P370" s="4">
        <f>L370/M370</f>
        <v>0.16323050768040936</v>
      </c>
    </row>
    <row r="371" spans="1:16" ht="12.75">
      <c r="A371" s="45"/>
      <c r="B371" s="20"/>
      <c r="C371" s="36"/>
      <c r="D371" s="36"/>
      <c r="E371" s="36"/>
      <c r="F371" s="36"/>
      <c r="H371" s="36"/>
      <c r="I371" s="36"/>
      <c r="J371" s="36"/>
      <c r="K371" s="36"/>
      <c r="L371" s="36"/>
      <c r="M371" s="36"/>
      <c r="O371" s="8"/>
      <c r="P371" s="8"/>
    </row>
    <row r="372" spans="1:16" ht="12.75">
      <c r="A372" s="45">
        <v>1461</v>
      </c>
      <c r="B372" s="20"/>
      <c r="C372" s="34">
        <v>2121.908</v>
      </c>
      <c r="D372" s="34"/>
      <c r="E372" s="34">
        <f>C372+D372</f>
        <v>2121.908</v>
      </c>
      <c r="F372" s="34">
        <f>4.63433805988442*E372</f>
        <v>9833.639003973229</v>
      </c>
      <c r="H372" s="36"/>
      <c r="I372" s="34">
        <v>45.786</v>
      </c>
      <c r="J372" s="34"/>
      <c r="K372" s="34">
        <f>I372+J372</f>
        <v>45.786</v>
      </c>
      <c r="L372" s="34">
        <f>47.8800721021218*K372</f>
        <v>2192.236981267749</v>
      </c>
      <c r="M372" s="34">
        <f>F372+L372</f>
        <v>12025.875985240978</v>
      </c>
      <c r="O372" s="4">
        <f>F372/M372</f>
        <v>0.8177066698543856</v>
      </c>
      <c r="P372" s="4">
        <f>L372/M372</f>
        <v>0.18229333014561436</v>
      </c>
    </row>
    <row r="373" spans="1:16" ht="12.75">
      <c r="A373" s="45">
        <v>1462</v>
      </c>
      <c r="B373" s="20"/>
      <c r="C373" s="34">
        <v>1964.338</v>
      </c>
      <c r="D373" s="34"/>
      <c r="E373" s="34">
        <f>C373+D373</f>
        <v>1964.338</v>
      </c>
      <c r="F373" s="34">
        <f>4.63433805988442*E373</f>
        <v>9103.406355877241</v>
      </c>
      <c r="H373" s="36"/>
      <c r="I373" s="34">
        <v>52.158</v>
      </c>
      <c r="J373" s="34"/>
      <c r="K373" s="34">
        <f>I373+J373</f>
        <v>52.158</v>
      </c>
      <c r="L373" s="34">
        <f>47.8800721021218*K373</f>
        <v>2497.328800702469</v>
      </c>
      <c r="M373" s="34">
        <f>F373+L373</f>
        <v>11600.73515657971</v>
      </c>
      <c r="O373" s="4">
        <f>F373/M373</f>
        <v>0.7847266774911215</v>
      </c>
      <c r="P373" s="4">
        <f>L373/M373</f>
        <v>0.21527332250887848</v>
      </c>
    </row>
    <row r="374" spans="1:16" ht="12.75">
      <c r="A374" s="45">
        <v>1463</v>
      </c>
      <c r="B374" s="20"/>
      <c r="C374" s="34">
        <v>1964.338</v>
      </c>
      <c r="D374" s="34"/>
      <c r="E374" s="34">
        <f>C374+D374</f>
        <v>1964.338</v>
      </c>
      <c r="F374" s="34">
        <f>4.63433805988442*E374</f>
        <v>9103.406355877241</v>
      </c>
      <c r="H374" s="36"/>
      <c r="I374" s="34">
        <v>52.158</v>
      </c>
      <c r="J374" s="34"/>
      <c r="K374" s="34">
        <f>I374+J374</f>
        <v>52.158</v>
      </c>
      <c r="L374" s="34">
        <f>47.8800721021218*K374</f>
        <v>2497.328800702469</v>
      </c>
      <c r="M374" s="34">
        <f>F374+L374</f>
        <v>11600.73515657971</v>
      </c>
      <c r="O374" s="4">
        <f>F374/M374</f>
        <v>0.7847266774911215</v>
      </c>
      <c r="P374" s="4">
        <f>L374/M374</f>
        <v>0.21527332250887848</v>
      </c>
    </row>
    <row r="375" spans="1:16" ht="12.75">
      <c r="A375" s="45">
        <v>1464</v>
      </c>
      <c r="B375" s="20"/>
      <c r="C375" s="34">
        <v>2517.054</v>
      </c>
      <c r="D375" s="34"/>
      <c r="E375" s="34">
        <f>C375+D375</f>
        <v>2517.054</v>
      </c>
      <c r="F375" s="34">
        <v>12494.901</v>
      </c>
      <c r="H375" s="36"/>
      <c r="I375" s="34">
        <v>220.325</v>
      </c>
      <c r="J375" s="34"/>
      <c r="K375" s="34">
        <f>I375+J375</f>
        <v>220.325</v>
      </c>
      <c r="L375" s="34">
        <f>(137.354*16.6666666667)+(495.598*20.83333333333)</f>
        <v>12614.191666669594</v>
      </c>
      <c r="M375" s="34">
        <f>F375+L375</f>
        <v>25109.092666669596</v>
      </c>
      <c r="O375" s="4">
        <f>F375/M375</f>
        <v>0.49762455242303627</v>
      </c>
      <c r="P375" s="4">
        <f>L375/M375</f>
        <v>0.5023754475769636</v>
      </c>
    </row>
    <row r="376" spans="1:16" ht="12.75">
      <c r="A376" s="45">
        <v>1465</v>
      </c>
      <c r="B376" s="20"/>
      <c r="C376" s="34">
        <v>8596.937</v>
      </c>
      <c r="D376" s="34"/>
      <c r="E376" s="34">
        <f>C376+D376</f>
        <v>8596.937</v>
      </c>
      <c r="F376" s="34">
        <f>5.79292257485553*E376</f>
        <v>49801.39042191078</v>
      </c>
      <c r="H376" s="36"/>
      <c r="I376" s="34">
        <v>2070.165</v>
      </c>
      <c r="J376" s="34"/>
      <c r="K376" s="34">
        <f>I376+J376</f>
        <v>2070.165</v>
      </c>
      <c r="L376" s="34">
        <f>(2973.59*20.8333333333333)+(2973.59*22.5)</f>
        <v>128855.56666666668</v>
      </c>
      <c r="M376" s="34">
        <f>F376+L376</f>
        <v>178656.95708857744</v>
      </c>
      <c r="O376" s="4">
        <f>F376/M376</f>
        <v>0.27875427430021343</v>
      </c>
      <c r="P376" s="4">
        <f>L376/M376</f>
        <v>0.7212457256997866</v>
      </c>
    </row>
    <row r="377" spans="1:16" ht="12.75">
      <c r="A377" s="45"/>
      <c r="B377" s="20"/>
      <c r="C377" s="36"/>
      <c r="D377" s="36"/>
      <c r="E377" s="36"/>
      <c r="F377" s="36"/>
      <c r="H377" s="36"/>
      <c r="I377" s="36"/>
      <c r="J377" s="36"/>
      <c r="K377" s="36"/>
      <c r="L377" s="36"/>
      <c r="M377" s="36"/>
      <c r="O377" s="8"/>
      <c r="P377" s="8"/>
    </row>
    <row r="378" spans="1:16" ht="12.75">
      <c r="A378" s="45" t="s">
        <v>80</v>
      </c>
      <c r="B378" s="20"/>
      <c r="C378" s="36">
        <f>SUM(C372:C377)/5</f>
        <v>3432.9149999999995</v>
      </c>
      <c r="D378" s="36">
        <f>SUM(D372:D377)/5</f>
        <v>0</v>
      </c>
      <c r="E378" s="36">
        <f>SUM(E372:E377)/5</f>
        <v>3432.9149999999995</v>
      </c>
      <c r="F378" s="36">
        <f>SUM(F372:F377)/5</f>
        <v>18067.3486275277</v>
      </c>
      <c r="H378" s="36"/>
      <c r="I378" s="36">
        <f>SUM(I372:I377)/5</f>
        <v>488.1184</v>
      </c>
      <c r="J378" s="36">
        <f>SUM(J372:J377)/5</f>
        <v>0</v>
      </c>
      <c r="K378" s="36">
        <f>SUM(K372:K377)/5</f>
        <v>488.1184</v>
      </c>
      <c r="L378" s="36">
        <f>SUM(L372:L377)/5</f>
        <v>29731.33058320179</v>
      </c>
      <c r="M378" s="36">
        <f>SUM(M372:M377)/5</f>
        <v>47798.67921072949</v>
      </c>
      <c r="O378" s="4">
        <f>F378/M378</f>
        <v>0.37798844917606167</v>
      </c>
      <c r="P378" s="4">
        <f>L378/M378</f>
        <v>0.6220115508239383</v>
      </c>
    </row>
    <row r="379" spans="1:16" ht="12.75">
      <c r="A379" s="45"/>
      <c r="B379" s="20"/>
      <c r="C379" s="36"/>
      <c r="D379" s="36"/>
      <c r="E379" s="36"/>
      <c r="F379" s="36"/>
      <c r="H379" s="36"/>
      <c r="I379" s="36"/>
      <c r="J379" s="36"/>
      <c r="K379" s="36"/>
      <c r="L379" s="36"/>
      <c r="M379" s="36"/>
      <c r="O379" s="8"/>
      <c r="P379" s="8"/>
    </row>
    <row r="380" spans="1:16" ht="12.75">
      <c r="A380" s="45">
        <v>1466</v>
      </c>
      <c r="B380" s="20"/>
      <c r="C380" s="34">
        <v>8596.937</v>
      </c>
      <c r="D380" s="34"/>
      <c r="E380" s="34">
        <f>C380+D380</f>
        <v>8596.937</v>
      </c>
      <c r="F380" s="34">
        <f>5.79292257485553*E380</f>
        <v>49801.39042191078</v>
      </c>
      <c r="H380" s="36"/>
      <c r="I380" s="34">
        <v>2070.165</v>
      </c>
      <c r="J380" s="34"/>
      <c r="K380" s="34">
        <f>I380+J380</f>
        <v>2070.165</v>
      </c>
      <c r="L380" s="34">
        <f>64.6380973378644*K380</f>
        <v>133811.52677544006</v>
      </c>
      <c r="M380" s="34">
        <f>F380+L380</f>
        <v>183612.91719735082</v>
      </c>
      <c r="O380" s="4">
        <f>F380/M380</f>
        <v>0.2712303207316469</v>
      </c>
      <c r="P380" s="4">
        <f>L380/M380</f>
        <v>0.7287696792683532</v>
      </c>
    </row>
    <row r="381" spans="1:16" ht="12.75">
      <c r="A381" s="45">
        <v>1467</v>
      </c>
      <c r="B381" s="20"/>
      <c r="C381" s="34">
        <v>5617</v>
      </c>
      <c r="D381" s="34"/>
      <c r="E381" s="34">
        <f>C381+D381</f>
        <v>5617</v>
      </c>
      <c r="F381" s="34">
        <f>5.79292257485553*E381</f>
        <v>32538.846102963515</v>
      </c>
      <c r="H381" s="36"/>
      <c r="I381" s="34">
        <v>1390.92</v>
      </c>
      <c r="J381" s="34"/>
      <c r="K381" s="34">
        <f>I381+J381</f>
        <v>1390.92</v>
      </c>
      <c r="L381" s="34">
        <f>64.6380973378644*K381</f>
        <v>89906.42234918235</v>
      </c>
      <c r="M381" s="34">
        <f>F381+L381</f>
        <v>122445.26845214586</v>
      </c>
      <c r="O381" s="4">
        <f>F381/M381</f>
        <v>0.265741963852857</v>
      </c>
      <c r="P381" s="4">
        <f>L381/M381</f>
        <v>0.734258036147143</v>
      </c>
    </row>
    <row r="382" spans="1:16" ht="12.75">
      <c r="A382" s="45">
        <v>1468</v>
      </c>
      <c r="B382" s="20"/>
      <c r="C382" s="34">
        <v>5617</v>
      </c>
      <c r="D382" s="34"/>
      <c r="E382" s="34">
        <f>C382+D382</f>
        <v>5617</v>
      </c>
      <c r="F382" s="34">
        <f>5.79292257485553*E382</f>
        <v>32538.846102963515</v>
      </c>
      <c r="H382" s="36"/>
      <c r="I382" s="34">
        <v>1390.92</v>
      </c>
      <c r="J382" s="34"/>
      <c r="K382" s="34">
        <f>I382+J382</f>
        <v>1390.92</v>
      </c>
      <c r="L382" s="34">
        <f>64.6380973378644*K382</f>
        <v>89906.42234918235</v>
      </c>
      <c r="M382" s="34">
        <f>F382+L382</f>
        <v>122445.26845214586</v>
      </c>
      <c r="O382" s="4">
        <f>F382/M382</f>
        <v>0.265741963852857</v>
      </c>
      <c r="P382" s="4">
        <f>L382/M382</f>
        <v>0.734258036147143</v>
      </c>
    </row>
    <row r="383" spans="1:16" ht="12.75">
      <c r="A383" s="45">
        <v>1469</v>
      </c>
      <c r="B383" s="20"/>
      <c r="C383" s="34">
        <v>2637.108</v>
      </c>
      <c r="D383" s="34"/>
      <c r="E383" s="34">
        <f>C383+D383</f>
        <v>2637.108</v>
      </c>
      <c r="F383" s="34">
        <f>5.79292257485553*E383</f>
        <v>15276.562465532119</v>
      </c>
      <c r="H383" s="36"/>
      <c r="I383" s="34">
        <v>711.674</v>
      </c>
      <c r="J383" s="34"/>
      <c r="K383" s="34">
        <f>I383+J383</f>
        <v>711.674</v>
      </c>
      <c r="L383" s="34">
        <f>64.6380973378644*K383</f>
        <v>46001.253284827304</v>
      </c>
      <c r="M383" s="34">
        <f>F383+L383</f>
        <v>61277.81575035943</v>
      </c>
      <c r="O383" s="4">
        <f>F383/M383</f>
        <v>0.24930004894050933</v>
      </c>
      <c r="P383" s="4">
        <f>L383/M383</f>
        <v>0.7506999510594906</v>
      </c>
    </row>
    <row r="384" spans="1:16" ht="12.75">
      <c r="A384" s="45">
        <v>1470</v>
      </c>
      <c r="B384" s="20"/>
      <c r="C384" s="34">
        <v>2610.567</v>
      </c>
      <c r="D384" s="34">
        <v>761.84</v>
      </c>
      <c r="E384" s="34">
        <f>C384+D384</f>
        <v>3372.407</v>
      </c>
      <c r="F384" s="34">
        <f>5.79292257485553*E384</f>
        <v>19536.092641900814</v>
      </c>
      <c r="H384" s="36"/>
      <c r="I384" s="34">
        <v>796.956</v>
      </c>
      <c r="J384" s="34">
        <v>80.148</v>
      </c>
      <c r="K384" s="34">
        <f>I384+J384</f>
        <v>877.104</v>
      </c>
      <c r="L384" s="34">
        <f>64.6380973378644*K384</f>
        <v>56694.33372743022</v>
      </c>
      <c r="M384" s="34">
        <f>F384+L384</f>
        <v>76230.42636933103</v>
      </c>
      <c r="O384" s="4">
        <f>F384/M384</f>
        <v>0.2562768381649845</v>
      </c>
      <c r="P384" s="4">
        <f>L384/M384</f>
        <v>0.7437231618350155</v>
      </c>
    </row>
    <row r="385" spans="1:16" ht="12.75">
      <c r="A385" s="45"/>
      <c r="B385" s="20"/>
      <c r="C385" s="36"/>
      <c r="D385" s="36"/>
      <c r="E385" s="36"/>
      <c r="F385" s="36"/>
      <c r="H385" s="36"/>
      <c r="I385" s="36"/>
      <c r="J385" s="36"/>
      <c r="K385" s="36"/>
      <c r="L385" s="36"/>
      <c r="M385" s="36"/>
      <c r="O385" s="8"/>
      <c r="P385" s="8"/>
    </row>
    <row r="386" spans="1:16" ht="12.75">
      <c r="A386" s="45" t="s">
        <v>83</v>
      </c>
      <c r="B386" s="20"/>
      <c r="C386" s="36">
        <f>SUM(C380:C385)/5</f>
        <v>5015.722400000001</v>
      </c>
      <c r="D386" s="36">
        <f>SUM(D380:D385)/5</f>
        <v>152.368</v>
      </c>
      <c r="E386" s="36">
        <f>SUM(E380:E385)/5</f>
        <v>5168.090399999999</v>
      </c>
      <c r="F386" s="36">
        <f>SUM(F380:F385)/5</f>
        <v>29938.347547054145</v>
      </c>
      <c r="H386" s="36"/>
      <c r="I386" s="36">
        <f>SUM(I380:I385)/5</f>
        <v>1272.127</v>
      </c>
      <c r="J386" s="36">
        <f>SUM(J380:J385)/5</f>
        <v>16.0296</v>
      </c>
      <c r="K386" s="36">
        <f>SUM(K380:K385)/5</f>
        <v>1288.1566</v>
      </c>
      <c r="L386" s="36">
        <f>SUM(L380:L385)/5</f>
        <v>83263.99169721245</v>
      </c>
      <c r="M386" s="36">
        <f>SUM(M380:M385)/5</f>
        <v>113202.3392442666</v>
      </c>
      <c r="O386" s="4">
        <f>F386/M386</f>
        <v>0.264467569724452</v>
      </c>
      <c r="P386" s="4">
        <f>L386/M386</f>
        <v>0.735532430275548</v>
      </c>
    </row>
    <row r="387" spans="1:16" ht="12.75">
      <c r="A387" s="45"/>
      <c r="B387" s="20"/>
      <c r="C387" s="36"/>
      <c r="D387" s="36"/>
      <c r="E387" s="36"/>
      <c r="F387" s="36"/>
      <c r="H387" s="36"/>
      <c r="I387" s="36"/>
      <c r="J387" s="36"/>
      <c r="K387" s="36"/>
      <c r="L387" s="36"/>
      <c r="M387" s="36"/>
      <c r="O387" s="8"/>
      <c r="P387" s="8"/>
    </row>
    <row r="388" spans="1:16" ht="12.75">
      <c r="A388" s="45">
        <v>1471</v>
      </c>
      <c r="B388" s="20"/>
      <c r="C388" s="34">
        <v>1213.064</v>
      </c>
      <c r="D388" s="34">
        <v>113.99</v>
      </c>
      <c r="E388" s="34">
        <f>C388+D388</f>
        <v>1327.054</v>
      </c>
      <c r="F388" s="34">
        <f>5.79292257485553*E388</f>
        <v>7687.521074652332</v>
      </c>
      <c r="H388" s="36"/>
      <c r="I388" s="34">
        <v>272.06</v>
      </c>
      <c r="J388" s="34">
        <v>16.745</v>
      </c>
      <c r="K388" s="34">
        <f>I388+J388</f>
        <v>288.805</v>
      </c>
      <c r="L388" s="34">
        <f>64.6380973378644*K388</f>
        <v>18667.805701661928</v>
      </c>
      <c r="M388" s="34">
        <f>F388+L388</f>
        <v>26355.326776314258</v>
      </c>
      <c r="O388" s="4">
        <f>F388/M388</f>
        <v>0.2916875643356154</v>
      </c>
      <c r="P388" s="4">
        <f>L388/M388</f>
        <v>0.7083124356643847</v>
      </c>
    </row>
    <row r="389" spans="1:16" ht="12.75">
      <c r="A389" s="45">
        <v>1472</v>
      </c>
      <c r="B389" s="20"/>
      <c r="C389" s="34">
        <v>2632.327</v>
      </c>
      <c r="D389" s="34">
        <v>204.087</v>
      </c>
      <c r="E389" s="34">
        <f>C389+D389</f>
        <v>2836.414</v>
      </c>
      <c r="F389" s="34">
        <f>5.79292257485553*E389</f>
        <v>16431.126692236274</v>
      </c>
      <c r="H389" s="36"/>
      <c r="I389" s="34">
        <v>590.365</v>
      </c>
      <c r="J389" s="34">
        <v>30.295</v>
      </c>
      <c r="K389" s="34">
        <f>I389+J389</f>
        <v>620.66</v>
      </c>
      <c r="L389" s="34">
        <f>64.6380973378644*K389</f>
        <v>40118.28149371891</v>
      </c>
      <c r="M389" s="34">
        <f>F389+L389</f>
        <v>56549.40818595518</v>
      </c>
      <c r="O389" s="4">
        <f>F389/M389</f>
        <v>0.29056231036414576</v>
      </c>
      <c r="P389" s="4">
        <f>L389/M389</f>
        <v>0.7094376896358543</v>
      </c>
    </row>
    <row r="390" spans="1:16" ht="12.75">
      <c r="A390" s="45">
        <v>1473</v>
      </c>
      <c r="B390" s="20"/>
      <c r="C390" s="34">
        <v>2632.327</v>
      </c>
      <c r="D390" s="34">
        <v>17.607</v>
      </c>
      <c r="E390" s="34">
        <f>C390+D390</f>
        <v>2649.934</v>
      </c>
      <c r="F390" s="34">
        <f>5.79292257485553*E390</f>
        <v>15350.862490477215</v>
      </c>
      <c r="H390" s="36"/>
      <c r="I390" s="34">
        <v>590.365</v>
      </c>
      <c r="J390" s="34">
        <v>4.262</v>
      </c>
      <c r="K390" s="34">
        <f>I390+J390</f>
        <v>594.627</v>
      </c>
      <c r="L390" s="34">
        <f>64.6380973378644*K390</f>
        <v>38435.557905722286</v>
      </c>
      <c r="M390" s="34">
        <f>F390+L390</f>
        <v>53786.4203961995</v>
      </c>
      <c r="O390" s="4">
        <f>F390/M390</f>
        <v>0.28540405510164596</v>
      </c>
      <c r="P390" s="4">
        <f>L390/M390</f>
        <v>0.7145959448983541</v>
      </c>
    </row>
    <row r="391" spans="1:16" ht="12.75">
      <c r="A391" s="45">
        <v>1474</v>
      </c>
      <c r="B391" s="20"/>
      <c r="C391" s="34">
        <v>2632.327</v>
      </c>
      <c r="D391" s="34">
        <v>17.607</v>
      </c>
      <c r="E391" s="34">
        <f>C391+D391</f>
        <v>2649.934</v>
      </c>
      <c r="F391" s="34">
        <f>5.79292257485553*E391</f>
        <v>15350.862490477215</v>
      </c>
      <c r="H391" s="36"/>
      <c r="I391" s="34">
        <v>590.365</v>
      </c>
      <c r="J391" s="34">
        <v>4.262</v>
      </c>
      <c r="K391" s="34">
        <f>I391+J391</f>
        <v>594.627</v>
      </c>
      <c r="L391" s="34">
        <f>64.6380973378644*K391</f>
        <v>38435.557905722286</v>
      </c>
      <c r="M391" s="34">
        <f>F391+L391</f>
        <v>53786.4203961995</v>
      </c>
      <c r="O391" s="4">
        <f>F391/M391</f>
        <v>0.28540405510164596</v>
      </c>
      <c r="P391" s="4">
        <f>L391/M391</f>
        <v>0.7145959448983541</v>
      </c>
    </row>
    <row r="392" spans="1:16" ht="12.75">
      <c r="A392" s="45">
        <v>1475</v>
      </c>
      <c r="B392" s="20"/>
      <c r="C392" s="34">
        <v>2632.327</v>
      </c>
      <c r="D392" s="34">
        <v>17.607</v>
      </c>
      <c r="E392" s="34">
        <f>C392+D392</f>
        <v>2649.934</v>
      </c>
      <c r="F392" s="34">
        <f>5.79292257485553*E392</f>
        <v>15350.862490477215</v>
      </c>
      <c r="H392" s="36"/>
      <c r="I392" s="34">
        <v>590.365</v>
      </c>
      <c r="J392" s="34">
        <v>4.262</v>
      </c>
      <c r="K392" s="34">
        <f>I392+J392</f>
        <v>594.627</v>
      </c>
      <c r="L392" s="34">
        <f>64.6380973378644*K392</f>
        <v>38435.557905722286</v>
      </c>
      <c r="M392" s="34">
        <f>F392+L392</f>
        <v>53786.4203961995</v>
      </c>
      <c r="O392" s="4">
        <f>F392/M392</f>
        <v>0.28540405510164596</v>
      </c>
      <c r="P392" s="4">
        <f>L392/M392</f>
        <v>0.7145959448983541</v>
      </c>
    </row>
    <row r="393" spans="1:16" ht="12.75">
      <c r="A393" s="45"/>
      <c r="B393" s="20"/>
      <c r="C393" s="36"/>
      <c r="D393" s="36"/>
      <c r="E393" s="36"/>
      <c r="F393" s="36"/>
      <c r="H393" s="36"/>
      <c r="I393" s="36"/>
      <c r="J393" s="36"/>
      <c r="K393" s="36"/>
      <c r="L393" s="36"/>
      <c r="M393" s="36"/>
      <c r="O393" s="8"/>
      <c r="P393" s="8"/>
    </row>
    <row r="394" spans="1:16" ht="12.75">
      <c r="A394" s="45" t="s">
        <v>85</v>
      </c>
      <c r="B394" s="20"/>
      <c r="C394" s="36">
        <f>SUM(C388:C393)/5</f>
        <v>2348.4744000000005</v>
      </c>
      <c r="D394" s="36">
        <f>SUM(D388:D393)/5</f>
        <v>74.17959999999998</v>
      </c>
      <c r="E394" s="36">
        <f>SUM(E388:E393)/5</f>
        <v>2422.654</v>
      </c>
      <c r="F394" s="36">
        <f>SUM(F388:F393)/5</f>
        <v>14034.24704766405</v>
      </c>
      <c r="H394" s="36"/>
      <c r="I394" s="36">
        <f>SUM(I388:I393)/5</f>
        <v>526.704</v>
      </c>
      <c r="J394" s="36">
        <f>SUM(J388:J393)/5</f>
        <v>11.965200000000001</v>
      </c>
      <c r="K394" s="36">
        <f>SUM(K388:K393)/5</f>
        <v>538.6692</v>
      </c>
      <c r="L394" s="36">
        <f>SUM(L388:L393)/5</f>
        <v>34818.55218250954</v>
      </c>
      <c r="M394" s="36">
        <f>SUM(M388:M393)/5</f>
        <v>48852.799230173594</v>
      </c>
      <c r="O394" s="4">
        <f>F394/M394</f>
        <v>0.28727621075592114</v>
      </c>
      <c r="P394" s="4">
        <f>L394/M394</f>
        <v>0.7127237892440789</v>
      </c>
    </row>
    <row r="395" spans="1:16" ht="12.75">
      <c r="A395" s="45"/>
      <c r="B395" s="20"/>
      <c r="C395" s="36"/>
      <c r="D395" s="36"/>
      <c r="E395" s="36"/>
      <c r="F395" s="36"/>
      <c r="H395" s="36"/>
      <c r="I395" s="36"/>
      <c r="J395" s="36"/>
      <c r="K395" s="36"/>
      <c r="L395" s="36"/>
      <c r="M395" s="36"/>
      <c r="O395" s="8"/>
      <c r="P395" s="8"/>
    </row>
    <row r="396" spans="1:16" ht="12.75">
      <c r="A396" s="45">
        <v>1476</v>
      </c>
      <c r="B396" s="20"/>
      <c r="C396" s="34">
        <v>1012.598</v>
      </c>
      <c r="D396" s="34"/>
      <c r="E396" s="34">
        <f>C396+D396</f>
        <v>1012.598</v>
      </c>
      <c r="F396" s="34">
        <f>5.79292257485553*E396</f>
        <v>5865.90181345356</v>
      </c>
      <c r="H396" s="36"/>
      <c r="I396" s="34">
        <v>336.672</v>
      </c>
      <c r="J396" s="34"/>
      <c r="K396" s="34">
        <f>I396+J396</f>
        <v>336.672</v>
      </c>
      <c r="L396" s="34">
        <f>64.6380973378644*K396</f>
        <v>21761.837506933483</v>
      </c>
      <c r="M396" s="34">
        <f>F396+L396</f>
        <v>27627.739320387045</v>
      </c>
      <c r="O396" s="4">
        <f>F396/M396</f>
        <v>0.21231928336333322</v>
      </c>
      <c r="P396" s="4">
        <f>L396/M396</f>
        <v>0.7876807166366667</v>
      </c>
    </row>
    <row r="397" spans="1:16" ht="12.75">
      <c r="A397" s="45">
        <v>1477</v>
      </c>
      <c r="B397" s="20"/>
      <c r="C397" s="34">
        <v>973.15</v>
      </c>
      <c r="D397" s="34"/>
      <c r="E397" s="34">
        <f>C397+D397</f>
        <v>973.15</v>
      </c>
      <c r="F397" s="34">
        <f>5.79292257485553*E397</f>
        <v>5637.382603720659</v>
      </c>
      <c r="H397" s="36"/>
      <c r="I397" s="34">
        <v>447.84</v>
      </c>
      <c r="J397" s="34"/>
      <c r="K397" s="34">
        <f>I397+J397</f>
        <v>447.84</v>
      </c>
      <c r="L397" s="34">
        <f>64.6380973378644*K397</f>
        <v>28947.52551178919</v>
      </c>
      <c r="M397" s="34">
        <f>F397+L397</f>
        <v>34584.90811550985</v>
      </c>
      <c r="O397" s="4">
        <f>F397/M397</f>
        <v>0.16300123119866075</v>
      </c>
      <c r="P397" s="4">
        <f>L397/M397</f>
        <v>0.8369987688013393</v>
      </c>
    </row>
    <row r="398" spans="1:16" ht="12.75">
      <c r="A398" s="45">
        <v>1478</v>
      </c>
      <c r="B398" s="20"/>
      <c r="C398" s="34">
        <v>677.389</v>
      </c>
      <c r="D398" s="34"/>
      <c r="E398" s="34">
        <f>C398+D398</f>
        <v>677.389</v>
      </c>
      <c r="F398" s="34">
        <f>5.79292257485553*E398</f>
        <v>3924.062030058813</v>
      </c>
      <c r="H398" s="36"/>
      <c r="I398" s="34">
        <v>390.24</v>
      </c>
      <c r="J398" s="34"/>
      <c r="K398" s="34">
        <f>I398+J398</f>
        <v>390.24</v>
      </c>
      <c r="L398" s="34">
        <f>64.6380973378644*K398</f>
        <v>25224.3711051282</v>
      </c>
      <c r="M398" s="34">
        <f>F398+L398</f>
        <v>29148.433135187013</v>
      </c>
      <c r="O398" s="4">
        <f>F398/M398</f>
        <v>0.134623429391881</v>
      </c>
      <c r="P398" s="4">
        <f>L398/M398</f>
        <v>0.865376570608119</v>
      </c>
    </row>
    <row r="399" spans="1:16" ht="12.75">
      <c r="A399" s="45">
        <v>1479</v>
      </c>
      <c r="B399" s="20"/>
      <c r="C399" s="34">
        <v>905.659</v>
      </c>
      <c r="D399" s="34"/>
      <c r="E399" s="34">
        <f>C399+D399</f>
        <v>905.659</v>
      </c>
      <c r="F399" s="34">
        <f>5.79292257485553*E399</f>
        <v>5246.412466221084</v>
      </c>
      <c r="H399" s="36"/>
      <c r="I399" s="34">
        <v>385.029</v>
      </c>
      <c r="J399" s="34"/>
      <c r="K399" s="34">
        <f>I399+J399</f>
        <v>385.029</v>
      </c>
      <c r="L399" s="34">
        <f>64.6380973378644*K399</f>
        <v>24887.54197990059</v>
      </c>
      <c r="M399" s="34">
        <f>F399+L399</f>
        <v>30133.954446121676</v>
      </c>
      <c r="O399" s="4">
        <f>F399/M399</f>
        <v>0.1741030197547243</v>
      </c>
      <c r="P399" s="4">
        <f>L399/M399</f>
        <v>0.8258969802452757</v>
      </c>
    </row>
    <row r="400" spans="1:16" ht="12.75">
      <c r="A400" s="45">
        <v>1480</v>
      </c>
      <c r="B400" s="20"/>
      <c r="C400" s="34">
        <v>604.617</v>
      </c>
      <c r="D400" s="34"/>
      <c r="E400" s="34">
        <f>C400+D400</f>
        <v>604.617</v>
      </c>
      <c r="F400" s="34">
        <f>5.79292257485553*E400</f>
        <v>3502.499468441426</v>
      </c>
      <c r="H400" s="36"/>
      <c r="I400" s="34">
        <v>462.604</v>
      </c>
      <c r="J400" s="34"/>
      <c r="K400" s="34">
        <f>I400+J400</f>
        <v>462.604</v>
      </c>
      <c r="L400" s="34">
        <f>64.6380973378644*K400</f>
        <v>29901.84238088542</v>
      </c>
      <c r="M400" s="34">
        <f>F400+L400</f>
        <v>33404.34184932685</v>
      </c>
      <c r="O400" s="4">
        <f>F400/M400</f>
        <v>0.10485162330812416</v>
      </c>
      <c r="P400" s="4">
        <f>L400/M400</f>
        <v>0.8951483766918759</v>
      </c>
    </row>
    <row r="401" spans="1:16" ht="12.75">
      <c r="A401" s="45"/>
      <c r="B401" s="20"/>
      <c r="C401" s="36"/>
      <c r="D401" s="36"/>
      <c r="E401" s="36"/>
      <c r="F401" s="36"/>
      <c r="H401" s="36"/>
      <c r="I401" s="36"/>
      <c r="J401" s="36"/>
      <c r="K401" s="36"/>
      <c r="L401" s="36"/>
      <c r="M401" s="36"/>
      <c r="O401" s="8"/>
      <c r="P401" s="8"/>
    </row>
    <row r="402" spans="1:16" ht="12.75">
      <c r="A402" s="45" t="s">
        <v>87</v>
      </c>
      <c r="B402" s="20"/>
      <c r="C402" s="36">
        <f>SUM(C396:C401)/5</f>
        <v>834.6826000000001</v>
      </c>
      <c r="D402" s="36">
        <f>SUM(D396:D401)/5</f>
        <v>0</v>
      </c>
      <c r="E402" s="36">
        <f>SUM(E396:E401)/5</f>
        <v>834.6826000000001</v>
      </c>
      <c r="F402" s="36">
        <f>SUM(F396:F401)/5</f>
        <v>4835.251676379108</v>
      </c>
      <c r="H402" s="36"/>
      <c r="I402" s="36">
        <f>SUM(I396:I401)/5</f>
        <v>404.477</v>
      </c>
      <c r="J402" s="36">
        <f>SUM(J396:J401)/5</f>
        <v>0</v>
      </c>
      <c r="K402" s="36">
        <f>SUM(K396:K401)/5</f>
        <v>404.477</v>
      </c>
      <c r="L402" s="36">
        <f>SUM(L396:L401)/5</f>
        <v>26144.623696927378</v>
      </c>
      <c r="M402" s="36">
        <f>SUM(M396:M401)/5</f>
        <v>30979.875373306488</v>
      </c>
      <c r="O402" s="4">
        <f>F402/M402</f>
        <v>0.15607718294907527</v>
      </c>
      <c r="P402" s="4">
        <f>L402/M402</f>
        <v>0.8439228170509246</v>
      </c>
    </row>
    <row r="403" spans="1:16" ht="12.75">
      <c r="A403" s="45"/>
      <c r="B403" s="20"/>
      <c r="C403" s="36"/>
      <c r="D403" s="36"/>
      <c r="E403" s="36"/>
      <c r="F403" s="36"/>
      <c r="H403" s="36"/>
      <c r="I403" s="36"/>
      <c r="J403" s="36"/>
      <c r="K403" s="36"/>
      <c r="L403" s="36"/>
      <c r="M403" s="36"/>
      <c r="O403" s="8"/>
      <c r="P403" s="8"/>
    </row>
    <row r="404" spans="1:16" ht="12.75">
      <c r="A404" s="45">
        <v>1481</v>
      </c>
      <c r="B404" s="20"/>
      <c r="C404" s="34">
        <v>315.889</v>
      </c>
      <c r="D404" s="34"/>
      <c r="E404" s="34">
        <f>C404+D404</f>
        <v>315.889</v>
      </c>
      <c r="F404" s="34">
        <f>5.79292257485553*E404</f>
        <v>1829.9205192485385</v>
      </c>
      <c r="H404" s="36"/>
      <c r="I404" s="34">
        <v>276.385</v>
      </c>
      <c r="J404" s="34"/>
      <c r="K404" s="34">
        <f>I404+J404</f>
        <v>276.385</v>
      </c>
      <c r="L404" s="34">
        <f>64.6380973378644*K404</f>
        <v>17865.00053272565</v>
      </c>
      <c r="M404" s="34">
        <f>F404+L404</f>
        <v>19694.92105197419</v>
      </c>
      <c r="O404" s="4">
        <f>F404/M404</f>
        <v>0.0929133208718859</v>
      </c>
      <c r="P404" s="4">
        <f>L404/M404</f>
        <v>0.9070866791281141</v>
      </c>
    </row>
    <row r="405" spans="1:16" ht="12.75">
      <c r="A405" s="45">
        <v>1482</v>
      </c>
      <c r="B405" s="20"/>
      <c r="C405" s="34">
        <v>553.855</v>
      </c>
      <c r="D405" s="34"/>
      <c r="E405" s="34">
        <f>C405+D405</f>
        <v>553.855</v>
      </c>
      <c r="F405" s="34">
        <f>5.79292257485553*E405</f>
        <v>3208.4391326966097</v>
      </c>
      <c r="H405" s="36"/>
      <c r="I405" s="34">
        <v>267.335</v>
      </c>
      <c r="J405" s="34"/>
      <c r="K405" s="34">
        <f>I405+J405</f>
        <v>267.335</v>
      </c>
      <c r="L405" s="34">
        <f>64.6380973378644*K405</f>
        <v>17280.025751817975</v>
      </c>
      <c r="M405" s="34">
        <f>F405+L405</f>
        <v>20488.464884514586</v>
      </c>
      <c r="O405" s="4">
        <f>F405/M405</f>
        <v>0.15659734151784033</v>
      </c>
      <c r="P405" s="4">
        <f>L405/M405</f>
        <v>0.8434026584821597</v>
      </c>
    </row>
    <row r="406" spans="1:16" ht="12.75">
      <c r="A406" s="45">
        <v>1483</v>
      </c>
      <c r="B406" s="20"/>
      <c r="C406" s="34">
        <v>1004.647</v>
      </c>
      <c r="D406" s="34"/>
      <c r="E406" s="34">
        <f>C406+D406</f>
        <v>1004.647</v>
      </c>
      <c r="F406" s="34">
        <f>5.79292257485553*E406</f>
        <v>5819.842286060884</v>
      </c>
      <c r="H406" s="36"/>
      <c r="I406" s="34">
        <v>162.414</v>
      </c>
      <c r="J406" s="34"/>
      <c r="K406" s="34">
        <f>I406+J406</f>
        <v>162.414</v>
      </c>
      <c r="L406" s="34">
        <f>64.6380973378644*K406</f>
        <v>10498.131941031907</v>
      </c>
      <c r="M406" s="34">
        <f>F406+L406</f>
        <v>16317.97422709279</v>
      </c>
      <c r="O406" s="4">
        <f>F406/M406</f>
        <v>0.3566522538317397</v>
      </c>
      <c r="P406" s="4">
        <f>L406/M406</f>
        <v>0.6433477461682603</v>
      </c>
    </row>
    <row r="407" spans="1:16" ht="12.75">
      <c r="A407" s="45">
        <v>1484</v>
      </c>
      <c r="B407" s="20"/>
      <c r="C407" s="34">
        <v>2300.517</v>
      </c>
      <c r="D407" s="34"/>
      <c r="E407" s="34">
        <f>C407+D407</f>
        <v>2300.517</v>
      </c>
      <c r="F407" s="34">
        <f>5.79292257485553*E407</f>
        <v>13326.71686313892</v>
      </c>
      <c r="H407" s="36"/>
      <c r="I407" s="34">
        <v>255.876</v>
      </c>
      <c r="J407" s="34"/>
      <c r="K407" s="34">
        <f>I407+J407</f>
        <v>255.876</v>
      </c>
      <c r="L407" s="34">
        <f>64.6380973378644*K407</f>
        <v>16539.33779442339</v>
      </c>
      <c r="M407" s="34">
        <f>F407+L407</f>
        <v>29866.05465756231</v>
      </c>
      <c r="O407" s="4">
        <f>F407/M407</f>
        <v>0.44621618141197955</v>
      </c>
      <c r="P407" s="4">
        <f>L407/M407</f>
        <v>0.5537838185880205</v>
      </c>
    </row>
    <row r="408" spans="1:16" ht="12.75">
      <c r="A408" s="45">
        <v>1485</v>
      </c>
      <c r="B408" s="20"/>
      <c r="C408" s="34">
        <v>801.247</v>
      </c>
      <c r="D408" s="34"/>
      <c r="E408" s="34">
        <f>C408+D408</f>
        <v>801.247</v>
      </c>
      <c r="F408" s="34">
        <f>5.79292257485553*E408</f>
        <v>4641.561834335269</v>
      </c>
      <c r="H408" s="36"/>
      <c r="I408" s="34">
        <v>135.234</v>
      </c>
      <c r="J408" s="34"/>
      <c r="K408" s="34">
        <f>I408+J408</f>
        <v>135.234</v>
      </c>
      <c r="L408" s="34">
        <f>64.6380973378644*K408</f>
        <v>8741.268455388754</v>
      </c>
      <c r="M408" s="34">
        <f>F408+L408</f>
        <v>13382.830289724023</v>
      </c>
      <c r="O408" s="4">
        <f>F408/M408</f>
        <v>0.3468296118123296</v>
      </c>
      <c r="P408" s="4">
        <f>L408/M408</f>
        <v>0.6531703881876705</v>
      </c>
    </row>
    <row r="409" spans="1:16" ht="12.75">
      <c r="A409" s="45"/>
      <c r="B409" s="20"/>
      <c r="C409" s="36"/>
      <c r="D409" s="36"/>
      <c r="E409" s="36"/>
      <c r="F409" s="36"/>
      <c r="H409" s="36"/>
      <c r="I409" s="36"/>
      <c r="J409" s="36"/>
      <c r="K409" s="36"/>
      <c r="L409" s="36"/>
      <c r="M409" s="36"/>
      <c r="O409" s="8"/>
      <c r="P409" s="8"/>
    </row>
    <row r="410" spans="1:16" ht="12.75">
      <c r="A410" s="45" t="s">
        <v>89</v>
      </c>
      <c r="B410" s="20"/>
      <c r="C410" s="36">
        <f>SUM(C404:C409)/5</f>
        <v>995.231</v>
      </c>
      <c r="D410" s="36">
        <f>SUM(D404:D409)/5</f>
        <v>0</v>
      </c>
      <c r="E410" s="36">
        <f>SUM(E404:E409)/5</f>
        <v>995.231</v>
      </c>
      <c r="F410" s="36">
        <f>SUM(F404:F409)/5</f>
        <v>5765.296127096044</v>
      </c>
      <c r="H410" s="36"/>
      <c r="I410" s="36">
        <f>SUM(I404:I409)/5</f>
        <v>219.44879999999998</v>
      </c>
      <c r="J410" s="36">
        <f>SUM(J404:J409)/5</f>
        <v>0</v>
      </c>
      <c r="K410" s="36">
        <f>SUM(K404:K409)/5</f>
        <v>219.44879999999998</v>
      </c>
      <c r="L410" s="36">
        <f>SUM(L404:L409)/5</f>
        <v>14184.752895077534</v>
      </c>
      <c r="M410" s="36">
        <f>SUM(M404:M409)/5</f>
        <v>19950.049022173578</v>
      </c>
      <c r="O410" s="4">
        <f>F410/M410</f>
        <v>0.28898656442839704</v>
      </c>
      <c r="P410" s="4">
        <f>L410/M410</f>
        <v>0.711013435571603</v>
      </c>
    </row>
    <row r="411" spans="1:16" ht="12.75">
      <c r="A411" s="45"/>
      <c r="B411" s="20"/>
      <c r="C411" s="36"/>
      <c r="D411" s="36"/>
      <c r="E411" s="36"/>
      <c r="F411" s="36"/>
      <c r="H411" s="36"/>
      <c r="I411" s="36"/>
      <c r="J411" s="36"/>
      <c r="K411" s="36"/>
      <c r="L411" s="36"/>
      <c r="M411" s="36"/>
      <c r="O411" s="8"/>
      <c r="P411" s="8"/>
    </row>
    <row r="412" spans="1:16" ht="12.75">
      <c r="A412" s="45">
        <v>1486</v>
      </c>
      <c r="B412" s="20"/>
      <c r="C412" s="34">
        <v>1328.022</v>
      </c>
      <c r="D412" s="34"/>
      <c r="E412" s="34">
        <f>C412+D412</f>
        <v>1328.022</v>
      </c>
      <c r="F412" s="34">
        <f>5.79292257485553*E412</f>
        <v>7693.128623704791</v>
      </c>
      <c r="H412" s="36"/>
      <c r="I412" s="34">
        <v>164.358</v>
      </c>
      <c r="J412" s="34"/>
      <c r="K412" s="34">
        <f>I412+J412</f>
        <v>164.358</v>
      </c>
      <c r="L412" s="34">
        <f>64.6380973378644*K412</f>
        <v>10623.788402256716</v>
      </c>
      <c r="M412" s="34">
        <f>F412+L412</f>
        <v>18316.917025961506</v>
      </c>
      <c r="O412" s="4">
        <f>F412/M412</f>
        <v>0.42000128148208155</v>
      </c>
      <c r="P412" s="4">
        <f>L412/M412</f>
        <v>0.5799987185179185</v>
      </c>
    </row>
    <row r="413" spans="1:16" ht="12.75">
      <c r="A413" s="45">
        <v>1487</v>
      </c>
      <c r="B413" s="20"/>
      <c r="C413" s="34">
        <v>615.029</v>
      </c>
      <c r="D413" s="34"/>
      <c r="E413" s="34">
        <f>C413+D413</f>
        <v>615.029</v>
      </c>
      <c r="F413" s="34">
        <f>5.79292257485553*E413</f>
        <v>3562.815378290822</v>
      </c>
      <c r="H413" s="36"/>
      <c r="I413" s="34">
        <v>120.092</v>
      </c>
      <c r="J413" s="34"/>
      <c r="K413" s="34">
        <f>I413+J413</f>
        <v>120.092</v>
      </c>
      <c r="L413" s="34">
        <f>64.6380973378644*K413</f>
        <v>7762.518385498811</v>
      </c>
      <c r="M413" s="34">
        <f>F413+L413</f>
        <v>11325.333763789633</v>
      </c>
      <c r="O413" s="4">
        <f>F413/M413</f>
        <v>0.3145881130392972</v>
      </c>
      <c r="P413" s="4">
        <f>L413/M413</f>
        <v>0.6854118869607028</v>
      </c>
    </row>
    <row r="414" spans="1:16" ht="12.75">
      <c r="A414" s="45">
        <v>1488</v>
      </c>
      <c r="B414" s="20"/>
      <c r="C414" s="34">
        <v>858.308</v>
      </c>
      <c r="D414" s="34"/>
      <c r="E414" s="34">
        <f>C414+D414</f>
        <v>858.308</v>
      </c>
      <c r="F414" s="34">
        <f>5.79292257485553*E414</f>
        <v>4972.111789379101</v>
      </c>
      <c r="H414" s="36"/>
      <c r="I414" s="34">
        <v>140.499</v>
      </c>
      <c r="J414" s="34"/>
      <c r="K414" s="34">
        <f>I414+J414</f>
        <v>140.499</v>
      </c>
      <c r="L414" s="34">
        <f>64.6380973378644*K414</f>
        <v>9081.588037872609</v>
      </c>
      <c r="M414" s="34">
        <f>F414+L414</f>
        <v>14053.699827251708</v>
      </c>
      <c r="O414" s="4">
        <f>F414/M414</f>
        <v>0.3537937945520663</v>
      </c>
      <c r="P414" s="4">
        <f>L414/M414</f>
        <v>0.6462062054479337</v>
      </c>
    </row>
    <row r="415" spans="1:16" ht="12.75">
      <c r="A415" s="45">
        <v>1489</v>
      </c>
      <c r="B415" s="20"/>
      <c r="C415" s="34">
        <v>881.693</v>
      </c>
      <c r="D415" s="34"/>
      <c r="E415" s="34">
        <f>C415+D415</f>
        <v>881.693</v>
      </c>
      <c r="F415" s="34">
        <f>5.79292257485553*E415</f>
        <v>5107.579283792097</v>
      </c>
      <c r="H415" s="36"/>
      <c r="I415" s="34">
        <v>82.933</v>
      </c>
      <c r="J415" s="34"/>
      <c r="K415" s="34">
        <f>I415+J415</f>
        <v>82.933</v>
      </c>
      <c r="L415" s="34">
        <f>64.6380973378644*K415</f>
        <v>5360.631326521108</v>
      </c>
      <c r="M415" s="34">
        <f>F415+L415</f>
        <v>10468.210610313206</v>
      </c>
      <c r="O415" s="4">
        <f>F415/M415</f>
        <v>0.4879133095354565</v>
      </c>
      <c r="P415" s="4">
        <f>L415/M415</f>
        <v>0.5120866904645435</v>
      </c>
    </row>
    <row r="416" spans="1:16" ht="12.75">
      <c r="A416" s="45">
        <v>1490</v>
      </c>
      <c r="B416" s="20"/>
      <c r="C416" s="34">
        <f>(C415+C421)/2</f>
        <v>950.873125</v>
      </c>
      <c r="D416" s="34"/>
      <c r="E416" s="34">
        <f>C416+D416</f>
        <v>950.873125</v>
      </c>
      <c r="F416" s="34">
        <f>5.79292257485553*E416</f>
        <v>5508.3343916359245</v>
      </c>
      <c r="H416" s="36"/>
      <c r="I416" s="34">
        <f>(I415+I421)/2</f>
        <v>140.863125</v>
      </c>
      <c r="J416" s="34"/>
      <c r="K416" s="34">
        <f>I416+J416</f>
        <v>140.863125</v>
      </c>
      <c r="L416" s="34">
        <f>64.6380973378644*K416</f>
        <v>9105.12438506576</v>
      </c>
      <c r="M416" s="34">
        <f>F416+L416</f>
        <v>14613.458776701684</v>
      </c>
      <c r="O416" s="4">
        <f>F416/M416</f>
        <v>0.37693570535251325</v>
      </c>
      <c r="P416" s="4">
        <f>L416/M416</f>
        <v>0.6230642946474868</v>
      </c>
    </row>
    <row r="417" spans="1:16" ht="12.75">
      <c r="A417" s="45"/>
      <c r="B417" s="20"/>
      <c r="C417" s="36"/>
      <c r="D417" s="36"/>
      <c r="E417" s="36"/>
      <c r="F417" s="36"/>
      <c r="H417" s="36"/>
      <c r="I417" s="36"/>
      <c r="J417" s="36"/>
      <c r="K417" s="36"/>
      <c r="L417" s="36"/>
      <c r="M417" s="36"/>
      <c r="O417" s="8"/>
      <c r="P417" s="8"/>
    </row>
    <row r="418" spans="1:16" ht="12.75">
      <c r="A418" s="45" t="s">
        <v>90</v>
      </c>
      <c r="B418" s="20"/>
      <c r="C418" s="36">
        <f>SUM(C412:C417)/5</f>
        <v>926.7850249999999</v>
      </c>
      <c r="D418" s="36">
        <f>SUM(D412:D417)/5</f>
        <v>0</v>
      </c>
      <c r="E418" s="36">
        <f>SUM(E412:E417)/5</f>
        <v>926.7850249999999</v>
      </c>
      <c r="F418" s="36">
        <f>SUM(F412:F417)/5</f>
        <v>5368.793893360547</v>
      </c>
      <c r="H418" s="36"/>
      <c r="I418" s="36">
        <f>SUM(I412:I417)/5</f>
        <v>129.749025</v>
      </c>
      <c r="J418" s="36">
        <f>SUM(J412:J417)/5</f>
        <v>0</v>
      </c>
      <c r="K418" s="36">
        <f>SUM(K412:K417)/5</f>
        <v>129.749025</v>
      </c>
      <c r="L418" s="36">
        <f>SUM(L412:L417)/5</f>
        <v>8386.730107443</v>
      </c>
      <c r="M418" s="36">
        <f>SUM(M412:M417)/5</f>
        <v>13755.524000803547</v>
      </c>
      <c r="O418" s="4">
        <f>F418/M418</f>
        <v>0.3903009360491772</v>
      </c>
      <c r="P418" s="4">
        <f>L418/M418</f>
        <v>0.6096990639508229</v>
      </c>
    </row>
    <row r="419" spans="1:16" ht="12.75">
      <c r="A419" s="45"/>
      <c r="B419" s="20"/>
      <c r="C419" s="36"/>
      <c r="D419" s="36"/>
      <c r="E419" s="36"/>
      <c r="F419" s="36"/>
      <c r="H419" s="36"/>
      <c r="I419" s="36"/>
      <c r="J419" s="36"/>
      <c r="K419" s="36"/>
      <c r="L419" s="36"/>
      <c r="M419" s="36"/>
      <c r="O419" s="8"/>
      <c r="P419" s="8"/>
    </row>
    <row r="420" spans="1:16" ht="12.75">
      <c r="A420" s="45">
        <v>1491</v>
      </c>
      <c r="B420" s="20"/>
      <c r="C420" s="34">
        <f>(C416+C421)/2</f>
        <v>985.4631875</v>
      </c>
      <c r="D420" s="34"/>
      <c r="E420" s="34">
        <f>C420+D420</f>
        <v>985.4631875</v>
      </c>
      <c r="F420" s="34">
        <f>5.79292257485553*E420</f>
        <v>5708.711945557839</v>
      </c>
      <c r="H420" s="36"/>
      <c r="I420" s="34">
        <f>(I416+I421)/2</f>
        <v>169.8281875</v>
      </c>
      <c r="J420" s="34"/>
      <c r="K420" s="34">
        <f>I420+J420</f>
        <v>169.8281875</v>
      </c>
      <c r="L420" s="34">
        <f>64.6380973378644*K420</f>
        <v>10977.370914338086</v>
      </c>
      <c r="M420" s="34">
        <f>F420+L420</f>
        <v>16686.082859895923</v>
      </c>
      <c r="O420" s="4">
        <f>F420/M420</f>
        <v>0.3421241518150681</v>
      </c>
      <c r="P420" s="4">
        <f>L420/M420</f>
        <v>0.6578758481849319</v>
      </c>
    </row>
    <row r="421" spans="1:16" ht="12.75">
      <c r="A421" s="45">
        <v>1492</v>
      </c>
      <c r="B421" s="20"/>
      <c r="C421" s="34">
        <f>(C414+C415+C424+C428)/4</f>
        <v>1020.0532499999999</v>
      </c>
      <c r="D421" s="34"/>
      <c r="E421" s="34">
        <f>C421+D421</f>
        <v>1020.0532499999999</v>
      </c>
      <c r="F421" s="34">
        <f>5.79292257485553*E421</f>
        <v>5909.089499479752</v>
      </c>
      <c r="H421" s="36"/>
      <c r="I421" s="34">
        <f>(I414+I415+I424+I428)/4</f>
        <v>198.79325</v>
      </c>
      <c r="J421" s="34"/>
      <c r="K421" s="34">
        <f>I421+J421</f>
        <v>198.79325</v>
      </c>
      <c r="L421" s="34">
        <f>64.6380973378644*K421</f>
        <v>12849.61744361041</v>
      </c>
      <c r="M421" s="34">
        <f>F421+L421</f>
        <v>18758.70694309016</v>
      </c>
      <c r="O421" s="4">
        <f>F421/M421</f>
        <v>0.3150051609317553</v>
      </c>
      <c r="P421" s="4">
        <f>L421/M421</f>
        <v>0.6849948390682448</v>
      </c>
    </row>
    <row r="422" spans="1:16" ht="12.75">
      <c r="A422" s="45">
        <v>1493</v>
      </c>
      <c r="B422" s="20"/>
      <c r="C422" s="34">
        <f>(C421+C424)/2</f>
        <v>1306.391625</v>
      </c>
      <c r="D422" s="34"/>
      <c r="E422" s="34">
        <f>C422+D422</f>
        <v>1306.391625</v>
      </c>
      <c r="F422" s="34">
        <f>5.79292257485553*E422</f>
        <v>7567.8255360647</v>
      </c>
      <c r="H422" s="36"/>
      <c r="I422" s="34">
        <f>(I421+I424)/2</f>
        <v>283.218125</v>
      </c>
      <c r="J422" s="34"/>
      <c r="K422" s="34">
        <f>I422+J422</f>
        <v>283.218125</v>
      </c>
      <c r="L422" s="34">
        <f>64.6380973378644*K422</f>
        <v>18306.680731597444</v>
      </c>
      <c r="M422" s="34">
        <f>F422+L422</f>
        <v>25874.506267662146</v>
      </c>
      <c r="O422" s="4">
        <f>F422/M422</f>
        <v>0.29248193019717394</v>
      </c>
      <c r="P422" s="4">
        <f>L422/M422</f>
        <v>0.7075180698028259</v>
      </c>
    </row>
    <row r="423" spans="1:16" ht="12.75">
      <c r="A423" s="45">
        <v>1494</v>
      </c>
      <c r="B423" s="20"/>
      <c r="C423" s="34">
        <f>(C422+C424)/2</f>
        <v>1449.5608124999999</v>
      </c>
      <c r="D423" s="34"/>
      <c r="E423" s="34">
        <f>C423+D423</f>
        <v>1449.5608124999999</v>
      </c>
      <c r="F423" s="34">
        <f>5.79292257485553*E423</f>
        <v>8397.193554357174</v>
      </c>
      <c r="H423" s="36"/>
      <c r="I423" s="34">
        <f>(I422+I424)/2</f>
        <v>325.43056249999995</v>
      </c>
      <c r="J423" s="34"/>
      <c r="K423" s="34">
        <f>I423+J423</f>
        <v>325.43056249999995</v>
      </c>
      <c r="L423" s="34">
        <f>64.6380973378644*K423</f>
        <v>21035.21237559096</v>
      </c>
      <c r="M423" s="34">
        <f>F423+L423</f>
        <v>29432.405929948134</v>
      </c>
      <c r="O423" s="4">
        <f>F423/M423</f>
        <v>0.28530435379096347</v>
      </c>
      <c r="P423" s="4">
        <f>L423/M423</f>
        <v>0.7146956462090365</v>
      </c>
    </row>
    <row r="424" spans="1:16" ht="12.75">
      <c r="A424" s="45">
        <v>1495</v>
      </c>
      <c r="B424" s="20"/>
      <c r="C424" s="34">
        <v>1592.73</v>
      </c>
      <c r="D424" s="34"/>
      <c r="E424" s="34">
        <f>C424+D424</f>
        <v>1592.73</v>
      </c>
      <c r="F424" s="34">
        <f>5.79292257485553*E424</f>
        <v>9226.561572649649</v>
      </c>
      <c r="H424" s="36"/>
      <c r="I424" s="34">
        <v>367.643</v>
      </c>
      <c r="J424" s="34"/>
      <c r="K424" s="34">
        <f>I424+J424</f>
        <v>367.643</v>
      </c>
      <c r="L424" s="34">
        <f>64.6380973378644*K424</f>
        <v>23763.74401958448</v>
      </c>
      <c r="M424" s="34">
        <f>F424+L424</f>
        <v>32990.30559223413</v>
      </c>
      <c r="O424" s="4">
        <f>F424/M424</f>
        <v>0.2796749350155025</v>
      </c>
      <c r="P424" s="4">
        <f>L424/M424</f>
        <v>0.7203250649844974</v>
      </c>
    </row>
    <row r="425" spans="1:16" ht="12.75">
      <c r="A425" s="45"/>
      <c r="B425" s="20"/>
      <c r="C425" s="36"/>
      <c r="D425" s="36"/>
      <c r="E425" s="36"/>
      <c r="F425" s="36"/>
      <c r="H425" s="36"/>
      <c r="I425" s="36"/>
      <c r="J425" s="36"/>
      <c r="K425" s="36"/>
      <c r="L425" s="36"/>
      <c r="M425" s="36"/>
      <c r="O425" s="8"/>
      <c r="P425" s="8"/>
    </row>
    <row r="426" spans="1:16" ht="12.75">
      <c r="A426" s="45" t="s">
        <v>93</v>
      </c>
      <c r="B426" s="20"/>
      <c r="C426" s="36">
        <f>SUM(C420:C425)/5</f>
        <v>1270.839775</v>
      </c>
      <c r="D426" s="36">
        <f>SUM(D420:D425)/5</f>
        <v>0</v>
      </c>
      <c r="E426" s="36">
        <f>SUM(E420:E425)/5</f>
        <v>1270.839775</v>
      </c>
      <c r="F426" s="36">
        <f>SUM(F420:F425)/5</f>
        <v>7361.876421621823</v>
      </c>
      <c r="H426" s="36"/>
      <c r="I426" s="36">
        <f>SUM(I420:I425)/5</f>
        <v>268.982625</v>
      </c>
      <c r="J426" s="36">
        <f>SUM(J420:J425)/5</f>
        <v>0</v>
      </c>
      <c r="K426" s="36">
        <f>SUM(K420:K425)/5</f>
        <v>268.982625</v>
      </c>
      <c r="L426" s="36">
        <f>SUM(L420:L425)/5</f>
        <v>17386.52509694428</v>
      </c>
      <c r="M426" s="36">
        <f>SUM(M420:M425)/5</f>
        <v>24748.401518566097</v>
      </c>
      <c r="O426" s="4">
        <f>F426/M426</f>
        <v>0.29746876444116965</v>
      </c>
      <c r="P426" s="4">
        <f>L426/M426</f>
        <v>0.7025312355588306</v>
      </c>
    </row>
    <row r="427" spans="1:16" ht="12.75">
      <c r="A427" s="45"/>
      <c r="B427" s="20"/>
      <c r="C427" s="36"/>
      <c r="D427" s="36"/>
      <c r="E427" s="36"/>
      <c r="F427" s="36"/>
      <c r="H427" s="36"/>
      <c r="I427" s="36"/>
      <c r="J427" s="36"/>
      <c r="K427" s="36"/>
      <c r="L427" s="36"/>
      <c r="M427" s="36"/>
      <c r="O427" s="8"/>
      <c r="P427" s="8"/>
    </row>
    <row r="428" spans="1:16" ht="12.75">
      <c r="A428" s="45">
        <v>1496</v>
      </c>
      <c r="B428" s="20"/>
      <c r="C428" s="34">
        <v>747.482</v>
      </c>
      <c r="D428" s="34"/>
      <c r="E428" s="34">
        <f>C428+D428</f>
        <v>747.482</v>
      </c>
      <c r="F428" s="34">
        <f>5.79292257485553*E428</f>
        <v>4330.105352098161</v>
      </c>
      <c r="H428" s="36"/>
      <c r="I428" s="34">
        <v>204.098</v>
      </c>
      <c r="J428" s="34"/>
      <c r="K428" s="34">
        <f>I428+J428</f>
        <v>204.098</v>
      </c>
      <c r="L428" s="34">
        <f>64.6380973378644*K428</f>
        <v>13192.506390463448</v>
      </c>
      <c r="M428" s="34">
        <f>F428+L428</f>
        <v>17522.61174256161</v>
      </c>
      <c r="O428" s="4">
        <f>F428/M428</f>
        <v>0.2471152939821486</v>
      </c>
      <c r="P428" s="4">
        <f>L428/M428</f>
        <v>0.7528847060178514</v>
      </c>
    </row>
    <row r="429" spans="1:16" ht="12.75">
      <c r="A429" s="45">
        <v>1497</v>
      </c>
      <c r="B429" s="20"/>
      <c r="C429" s="34">
        <v>1459.972</v>
      </c>
      <c r="D429" s="34"/>
      <c r="E429" s="34">
        <f>C429+D429</f>
        <v>1459.972</v>
      </c>
      <c r="F429" s="34">
        <f>5.79292257485553*E429</f>
        <v>8457.504757456978</v>
      </c>
      <c r="H429" s="36"/>
      <c r="I429" s="34">
        <v>266.259</v>
      </c>
      <c r="J429" s="34"/>
      <c r="K429" s="34">
        <f>I429+J429</f>
        <v>266.259</v>
      </c>
      <c r="L429" s="34">
        <f>64.6380973378644*K429</f>
        <v>17210.475159082438</v>
      </c>
      <c r="M429" s="34">
        <f>F429+L429</f>
        <v>25667.979916539414</v>
      </c>
      <c r="O429" s="4">
        <f>F429/M429</f>
        <v>0.32949631349864433</v>
      </c>
      <c r="P429" s="4">
        <f>L429/M429</f>
        <v>0.6705036865013557</v>
      </c>
    </row>
    <row r="430" spans="1:16" ht="12.75">
      <c r="A430" s="45">
        <v>1498</v>
      </c>
      <c r="B430" s="20"/>
      <c r="C430" s="34">
        <v>2494.261</v>
      </c>
      <c r="D430" s="34"/>
      <c r="E430" s="34">
        <f>C430+D430</f>
        <v>2494.261</v>
      </c>
      <c r="F430" s="34">
        <f>5.79292257485553*E430</f>
        <v>14449.06085448173</v>
      </c>
      <c r="H430" s="36"/>
      <c r="I430" s="34">
        <v>302.202</v>
      </c>
      <c r="J430" s="34"/>
      <c r="K430" s="34">
        <f>I430+J430</f>
        <v>302.202</v>
      </c>
      <c r="L430" s="34">
        <f>64.6380973378644*K430</f>
        <v>19533.762291697294</v>
      </c>
      <c r="M430" s="34">
        <f>F430+L430</f>
        <v>33982.82314617903</v>
      </c>
      <c r="O430" s="4">
        <f>F430/M430</f>
        <v>0.42518718331105926</v>
      </c>
      <c r="P430" s="4">
        <f>L430/M430</f>
        <v>0.5748128166889407</v>
      </c>
    </row>
    <row r="431" spans="1:16" ht="12.75">
      <c r="A431" s="45">
        <v>1499</v>
      </c>
      <c r="B431" s="20"/>
      <c r="C431" s="34">
        <v>4325.385</v>
      </c>
      <c r="D431" s="34"/>
      <c r="E431" s="34">
        <f>C431+D431</f>
        <v>4325.385</v>
      </c>
      <c r="F431" s="34">
        <f>5.79292257485553*E431</f>
        <v>25056.62041144149</v>
      </c>
      <c r="H431" s="36"/>
      <c r="I431" s="34">
        <v>341.849</v>
      </c>
      <c r="J431" s="34"/>
      <c r="K431" s="34">
        <f>I431+J431</f>
        <v>341.849</v>
      </c>
      <c r="L431" s="34">
        <f>64.6380973378644*K431</f>
        <v>22096.468936851605</v>
      </c>
      <c r="M431" s="34">
        <f>F431+L431</f>
        <v>47153.0893482931</v>
      </c>
      <c r="O431" s="4">
        <f>F431/M431</f>
        <v>0.5313887331191062</v>
      </c>
      <c r="P431" s="4">
        <f>L431/M431</f>
        <v>0.4686112668808937</v>
      </c>
    </row>
    <row r="432" spans="1:16" ht="12.75">
      <c r="A432" s="45">
        <v>1500</v>
      </c>
      <c r="B432" s="20"/>
      <c r="C432" s="34">
        <v>3427.6</v>
      </c>
      <c r="D432" s="34"/>
      <c r="E432" s="34">
        <f>C432+D432</f>
        <v>3427.6</v>
      </c>
      <c r="F432" s="34">
        <f>5.79292257485553*E432</f>
        <v>19855.821417574814</v>
      </c>
      <c r="H432" s="36">
        <v>754.708</v>
      </c>
      <c r="I432" s="34">
        <f>H432*0.373241712*(23.875/24)</f>
        <v>280.221378344783</v>
      </c>
      <c r="J432" s="34"/>
      <c r="K432" s="34">
        <f>I432+J432</f>
        <v>280.221378344783</v>
      </c>
      <c r="L432" s="34">
        <f>64.6380973378644*K432</f>
        <v>18112.976729600607</v>
      </c>
      <c r="M432" s="34">
        <f>F432+L432</f>
        <v>37968.79814717542</v>
      </c>
      <c r="O432" s="4">
        <f>F432/M432</f>
        <v>0.5229510120549321</v>
      </c>
      <c r="P432" s="4">
        <f>L432/M432</f>
        <v>0.477048987945068</v>
      </c>
    </row>
    <row r="433" spans="1:16" ht="12.75">
      <c r="A433" s="45"/>
      <c r="B433" s="20"/>
      <c r="C433" s="36"/>
      <c r="D433" s="36"/>
      <c r="E433" s="36"/>
      <c r="F433" s="36"/>
      <c r="H433" s="36"/>
      <c r="I433" s="36"/>
      <c r="J433" s="36"/>
      <c r="K433" s="36"/>
      <c r="L433" s="36"/>
      <c r="M433" s="36"/>
      <c r="O433" s="8"/>
      <c r="P433" s="8"/>
    </row>
    <row r="434" spans="1:16" ht="12.75">
      <c r="A434" s="45" t="s">
        <v>94</v>
      </c>
      <c r="B434" s="20"/>
      <c r="C434" s="36">
        <f>SUM(C428:C433)/5</f>
        <v>2490.94</v>
      </c>
      <c r="D434" s="36">
        <f>SUM(D428:D433)/5</f>
        <v>0</v>
      </c>
      <c r="E434" s="36">
        <f>SUM(E428:E433)/5</f>
        <v>2490.94</v>
      </c>
      <c r="F434" s="36">
        <f>SUM(F428:F433)/5</f>
        <v>14429.822558610636</v>
      </c>
      <c r="H434" s="36"/>
      <c r="I434" s="36">
        <f>SUM(I428:I433)/5</f>
        <v>278.92587566895656</v>
      </c>
      <c r="J434" s="36">
        <f>SUM(J428:J433)/5</f>
        <v>0</v>
      </c>
      <c r="K434" s="36">
        <f>SUM(K428:K433)/5</f>
        <v>278.92587566895656</v>
      </c>
      <c r="L434" s="36">
        <f>SUM(L428:L433)/5</f>
        <v>18029.237901539076</v>
      </c>
      <c r="M434" s="36">
        <f>SUM(M428:M433)/5</f>
        <v>32459.06046014971</v>
      </c>
      <c r="O434" s="4">
        <f>F434/M434</f>
        <v>0.44455453589996125</v>
      </c>
      <c r="P434" s="4">
        <f>L434/M434</f>
        <v>0.5554454641000388</v>
      </c>
    </row>
    <row r="435" spans="1:16" ht="12.75">
      <c r="A435" s="45"/>
      <c r="B435" s="20"/>
      <c r="C435" s="36"/>
      <c r="D435" s="36"/>
      <c r="E435" s="36"/>
      <c r="F435" s="36"/>
      <c r="H435" s="36"/>
      <c r="I435" s="36"/>
      <c r="J435" s="36"/>
      <c r="K435" s="36"/>
      <c r="L435" s="36"/>
      <c r="M435" s="36"/>
      <c r="O435" s="8"/>
      <c r="P435" s="8"/>
    </row>
    <row r="436" spans="1:16" ht="12.75">
      <c r="A436" s="45">
        <v>1501</v>
      </c>
      <c r="B436" s="20"/>
      <c r="C436" s="34">
        <v>3567.04</v>
      </c>
      <c r="D436" s="34"/>
      <c r="E436" s="34">
        <f>C436+D436</f>
        <v>3567.04</v>
      </c>
      <c r="F436" s="34">
        <f>5.79292257485553*E436</f>
        <v>20663.58654141267</v>
      </c>
      <c r="H436" s="36">
        <v>1040.177</v>
      </c>
      <c r="I436" s="34">
        <f>H436*0.373241712*(23.875/24)</f>
        <v>386.2153742408207</v>
      </c>
      <c r="J436" s="34"/>
      <c r="K436" s="34">
        <f>I436+J436</f>
        <v>386.2153742408207</v>
      </c>
      <c r="L436" s="34">
        <f>64.6380973378644*K436</f>
        <v>24964.226953557896</v>
      </c>
      <c r="M436" s="34">
        <f>F436+L436</f>
        <v>45627.81349497057</v>
      </c>
      <c r="O436" s="4">
        <f>F436/M436</f>
        <v>0.4528726002548941</v>
      </c>
      <c r="P436" s="4">
        <f>L436/M436</f>
        <v>0.5471273997451058</v>
      </c>
    </row>
    <row r="437" spans="1:16" ht="12.75">
      <c r="A437" s="45">
        <v>1502</v>
      </c>
      <c r="B437" s="20"/>
      <c r="C437" s="34">
        <v>3220.76</v>
      </c>
      <c r="D437" s="34"/>
      <c r="E437" s="34">
        <f>C437+D437</f>
        <v>3220.76</v>
      </c>
      <c r="F437" s="34">
        <f>5.79292257485553*E437</f>
        <v>18657.613312191697</v>
      </c>
      <c r="H437" s="36">
        <v>1232.083</v>
      </c>
      <c r="I437" s="34">
        <f>H437*0.373241712*(23.875/24)</f>
        <v>457.4696392448143</v>
      </c>
      <c r="J437" s="34"/>
      <c r="K437" s="34">
        <f>I437+J437</f>
        <v>457.4696392448143</v>
      </c>
      <c r="L437" s="34">
        <f>64.6380973378644*K437</f>
        <v>29569.967070624014</v>
      </c>
      <c r="M437" s="34">
        <f>F437+L437</f>
        <v>48227.58038281571</v>
      </c>
      <c r="O437" s="4">
        <f>F437/M437</f>
        <v>0.3868660456131802</v>
      </c>
      <c r="P437" s="4">
        <f>L437/M437</f>
        <v>0.6131339543868198</v>
      </c>
    </row>
    <row r="438" spans="1:16" ht="12.75">
      <c r="A438" s="45">
        <v>1503</v>
      </c>
      <c r="B438" s="20"/>
      <c r="C438" s="34">
        <v>2516.02</v>
      </c>
      <c r="D438" s="34"/>
      <c r="E438" s="34">
        <f>C438+D438</f>
        <v>2516.02</v>
      </c>
      <c r="F438" s="34">
        <f>5.79292257485553*E438</f>
        <v>14575.109056788011</v>
      </c>
      <c r="H438" s="36">
        <v>1192.594</v>
      </c>
      <c r="I438" s="34">
        <f>H438*0.373241712*(23.875/24)</f>
        <v>442.8074626023815</v>
      </c>
      <c r="J438" s="34"/>
      <c r="K438" s="34">
        <f>I438+J438</f>
        <v>442.8074626023815</v>
      </c>
      <c r="L438" s="34">
        <f>64.6380973378644*K438</f>
        <v>28622.231869625484</v>
      </c>
      <c r="M438" s="34">
        <f>F438+L438</f>
        <v>43197.3409264135</v>
      </c>
      <c r="O438" s="4">
        <f>F438/M438</f>
        <v>0.3374075520439245</v>
      </c>
      <c r="P438" s="4">
        <f>L438/M438</f>
        <v>0.6625924479560755</v>
      </c>
    </row>
    <row r="439" spans="1:16" ht="12.75">
      <c r="A439" s="45">
        <v>1504</v>
      </c>
      <c r="B439" s="20"/>
      <c r="C439" s="34">
        <v>4470.39</v>
      </c>
      <c r="D439" s="34"/>
      <c r="E439" s="34">
        <f>C439+D439</f>
        <v>4470.39</v>
      </c>
      <c r="F439" s="34">
        <f>5.79292257485553*E439</f>
        <v>25896.623149408417</v>
      </c>
      <c r="H439" s="36">
        <v>1511.74</v>
      </c>
      <c r="I439" s="34">
        <f>H439*0.373241712*(23.875/24)</f>
        <v>561.305652648365</v>
      </c>
      <c r="J439" s="34"/>
      <c r="K439" s="34">
        <f>I439+J439</f>
        <v>561.305652648365</v>
      </c>
      <c r="L439" s="34">
        <f>64.6380973378644*K439</f>
        <v>36281.729412178516</v>
      </c>
      <c r="M439" s="34">
        <f>F439+L439</f>
        <v>62178.35256158693</v>
      </c>
      <c r="O439" s="4">
        <f>F439/M439</f>
        <v>0.41648937423612364</v>
      </c>
      <c r="P439" s="4">
        <f>L439/M439</f>
        <v>0.5835106257638764</v>
      </c>
    </row>
    <row r="440" spans="1:16" ht="12.75">
      <c r="A440" s="45">
        <v>1505</v>
      </c>
      <c r="B440" s="20"/>
      <c r="C440" s="34">
        <v>7793.51</v>
      </c>
      <c r="D440" s="34"/>
      <c r="E440" s="34">
        <f>C440+D440</f>
        <v>7793.51</v>
      </c>
      <c r="F440" s="34">
        <f>5.79292257485553*E440</f>
        <v>45147.20001636232</v>
      </c>
      <c r="H440" s="36">
        <v>1980.135</v>
      </c>
      <c r="I440" s="34">
        <f>H440*0.373241712*(23.875/24)</f>
        <v>735.2196598005413</v>
      </c>
      <c r="J440" s="34"/>
      <c r="K440" s="34">
        <f>I440+J440</f>
        <v>735.2196598005413</v>
      </c>
      <c r="L440" s="34">
        <f>64.6380973378644*K440</f>
        <v>47523.199934898934</v>
      </c>
      <c r="M440" s="34">
        <f>F440+L440</f>
        <v>92670.39995126126</v>
      </c>
      <c r="O440" s="4">
        <f>F440/M440</f>
        <v>0.4871803730220964</v>
      </c>
      <c r="P440" s="4">
        <f>L440/M440</f>
        <v>0.5128196269779035</v>
      </c>
    </row>
    <row r="441" spans="1:16" ht="12.75">
      <c r="A441" s="45"/>
      <c r="B441" s="20"/>
      <c r="C441" s="36"/>
      <c r="D441" s="36"/>
      <c r="E441" s="36"/>
      <c r="F441" s="36"/>
      <c r="H441" s="36"/>
      <c r="I441" s="36"/>
      <c r="J441" s="36"/>
      <c r="K441" s="36"/>
      <c r="L441" s="36"/>
      <c r="M441" s="36"/>
      <c r="O441" s="8"/>
      <c r="P441" s="8"/>
    </row>
    <row r="442" spans="1:16" ht="12.75">
      <c r="A442" s="45" t="s">
        <v>96</v>
      </c>
      <c r="B442" s="20"/>
      <c r="C442" s="36">
        <f>SUM(C436:C441)/5</f>
        <v>4313.544</v>
      </c>
      <c r="D442" s="36">
        <f>SUM(D436:D441)/5</f>
        <v>0</v>
      </c>
      <c r="E442" s="36">
        <f>SUM(E436:E441)/5</f>
        <v>4313.544</v>
      </c>
      <c r="F442" s="36">
        <f>SUM(F436:F441)/5</f>
        <v>24988.02641523262</v>
      </c>
      <c r="H442" s="36"/>
      <c r="I442" s="36">
        <f>SUM(I436:I441)/5</f>
        <v>516.6035577073845</v>
      </c>
      <c r="J442" s="36"/>
      <c r="K442" s="36">
        <f>SUM(K436:K441)/5</f>
        <v>516.6035577073845</v>
      </c>
      <c r="L442" s="36">
        <f>SUM(L436:L441)/5</f>
        <v>33392.27104817697</v>
      </c>
      <c r="M442" s="36">
        <f>SUM(M436:M441)/5</f>
        <v>58380.2974634096</v>
      </c>
      <c r="O442" s="4">
        <f>F442/M442</f>
        <v>0.42802156722298473</v>
      </c>
      <c r="P442" s="4">
        <f>L442/M442</f>
        <v>0.571978432777015</v>
      </c>
    </row>
    <row r="443" spans="1:16" ht="12.75">
      <c r="A443" s="45"/>
      <c r="B443" s="20"/>
      <c r="C443" s="36"/>
      <c r="D443" s="36"/>
      <c r="E443" s="36"/>
      <c r="F443" s="36"/>
      <c r="H443" s="36"/>
      <c r="I443" s="36"/>
      <c r="J443" s="36"/>
      <c r="K443" s="36"/>
      <c r="L443" s="36"/>
      <c r="M443" s="36"/>
      <c r="O443" s="8"/>
      <c r="P443" s="8"/>
    </row>
    <row r="444" spans="1:16" ht="12.75">
      <c r="A444" s="45">
        <v>1506</v>
      </c>
      <c r="B444" s="20"/>
      <c r="C444" s="34">
        <v>6648.43</v>
      </c>
      <c r="D444" s="34"/>
      <c r="E444" s="34">
        <f>C444+D444</f>
        <v>6648.43</v>
      </c>
      <c r="F444" s="34">
        <f>5.79292257485553*E444</f>
        <v>38513.84023434675</v>
      </c>
      <c r="H444" s="36">
        <v>3981.385</v>
      </c>
      <c r="I444" s="34">
        <f>H444*0.373241712*(23.875/24)</f>
        <v>1478.2792714814789</v>
      </c>
      <c r="J444" s="34"/>
      <c r="K444" s="34">
        <f>I444+J444</f>
        <v>1478.2792714814789</v>
      </c>
      <c r="L444" s="34">
        <f>64.6380973378644*K444</f>
        <v>95553.15944256709</v>
      </c>
      <c r="M444" s="34">
        <f>F444+L444</f>
        <v>134066.99967691384</v>
      </c>
      <c r="O444" s="4">
        <f>F444/M444</f>
        <v>0.28727308231824916</v>
      </c>
      <c r="P444" s="4">
        <f>L444/M444</f>
        <v>0.7127269176817509</v>
      </c>
    </row>
    <row r="445" spans="1:16" ht="12.75">
      <c r="A445" s="45">
        <v>1507</v>
      </c>
      <c r="B445" s="20"/>
      <c r="C445" s="34">
        <v>5230.92</v>
      </c>
      <c r="D445" s="34"/>
      <c r="E445" s="34">
        <f>C445+D445</f>
        <v>5230.92</v>
      </c>
      <c r="F445" s="34">
        <f>5.79292257485553*E445</f>
        <v>30302.31455526329</v>
      </c>
      <c r="H445" s="36">
        <v>3566.99</v>
      </c>
      <c r="I445" s="34">
        <f>H445*0.373241712*(23.875/24)</f>
        <v>1324.4153425458026</v>
      </c>
      <c r="J445" s="34"/>
      <c r="K445" s="34">
        <f>I445+J445</f>
        <v>1324.4153425458026</v>
      </c>
      <c r="L445" s="34">
        <f>64.6380973378644*K445</f>
        <v>85607.6878272366</v>
      </c>
      <c r="M445" s="34">
        <f>F445+L445</f>
        <v>115910.0023824999</v>
      </c>
      <c r="O445" s="4">
        <f>F445/M445</f>
        <v>0.2614296776154526</v>
      </c>
      <c r="P445" s="4">
        <f>L445/M445</f>
        <v>0.7385703223845473</v>
      </c>
    </row>
    <row r="446" spans="1:16" ht="12.75">
      <c r="A446" s="45">
        <v>1508</v>
      </c>
      <c r="B446" s="20"/>
      <c r="C446" s="34">
        <v>4140.77</v>
      </c>
      <c r="D446" s="34"/>
      <c r="E446" s="34">
        <f>C446+D446</f>
        <v>4140.77</v>
      </c>
      <c r="F446" s="34">
        <f>5.79292257485553*E446</f>
        <v>23987.160010284537</v>
      </c>
      <c r="H446" s="36">
        <v>5112.146</v>
      </c>
      <c r="I446" s="34">
        <f>H446*0.373241712*(23.875/24)</f>
        <v>1898.1282806327333</v>
      </c>
      <c r="J446" s="34"/>
      <c r="K446" s="34">
        <f>I446+J446</f>
        <v>1898.1282806327333</v>
      </c>
      <c r="L446" s="34">
        <f>64.6380973378644*K446</f>
        <v>122691.4005632918</v>
      </c>
      <c r="M446" s="34">
        <f>F446+L446</f>
        <v>146678.56057357634</v>
      </c>
      <c r="O446" s="4">
        <f>F446/M446</f>
        <v>0.16353555636545936</v>
      </c>
      <c r="P446" s="4">
        <f>L446/M446</f>
        <v>0.8364644436345406</v>
      </c>
    </row>
    <row r="447" spans="1:16" ht="12.75">
      <c r="A447" s="45">
        <v>1509</v>
      </c>
      <c r="B447" s="20"/>
      <c r="C447" s="34">
        <v>1595.34</v>
      </c>
      <c r="D447" s="34"/>
      <c r="E447" s="34">
        <f>C447+D447</f>
        <v>1595.34</v>
      </c>
      <c r="F447" s="34">
        <f>5.79292257485553*E447</f>
        <v>9241.681100570022</v>
      </c>
      <c r="H447" s="36">
        <v>4968.792</v>
      </c>
      <c r="I447" s="34">
        <f>H447*0.373241712*(23.875/24)</f>
        <v>1844.9012637318422</v>
      </c>
      <c r="J447" s="34"/>
      <c r="K447" s="34">
        <f>I447+J447</f>
        <v>1844.9012637318422</v>
      </c>
      <c r="L447" s="34">
        <f>64.6380973378644*K447</f>
        <v>119250.90746384785</v>
      </c>
      <c r="M447" s="34">
        <f>F447+L447</f>
        <v>128492.58856441788</v>
      </c>
      <c r="O447" s="4">
        <f>F447/M447</f>
        <v>0.07192384559936577</v>
      </c>
      <c r="P447" s="4">
        <f>L447/M447</f>
        <v>0.9280761544006342</v>
      </c>
    </row>
    <row r="448" spans="1:16" ht="12.75">
      <c r="A448" s="45">
        <v>1510</v>
      </c>
      <c r="B448" s="20"/>
      <c r="C448" s="34">
        <v>550.6</v>
      </c>
      <c r="D448" s="34"/>
      <c r="E448" s="34">
        <f>C448+D448</f>
        <v>550.6</v>
      </c>
      <c r="F448" s="34">
        <f>5.79292257485553*E448</f>
        <v>3189.583169715455</v>
      </c>
      <c r="H448" s="36">
        <v>2881.385</v>
      </c>
      <c r="I448" s="34">
        <f>H448*0.373241712*(23.875/24)</f>
        <v>1069.8517522564787</v>
      </c>
      <c r="J448" s="34"/>
      <c r="K448" s="34">
        <f>I448+J448</f>
        <v>1069.8517522564787</v>
      </c>
      <c r="L448" s="34">
        <f>64.6380973378644*K448</f>
        <v>69153.18169943905</v>
      </c>
      <c r="M448" s="34">
        <f>F448+L448</f>
        <v>72342.7648691545</v>
      </c>
      <c r="O448" s="4">
        <f>F448/M448</f>
        <v>0.04408987098411867</v>
      </c>
      <c r="P448" s="4">
        <f>L448/M448</f>
        <v>0.9559101290158813</v>
      </c>
    </row>
    <row r="449" spans="1:16" ht="12.75">
      <c r="A449" s="45"/>
      <c r="B449" s="20"/>
      <c r="C449" s="36"/>
      <c r="D449" s="36"/>
      <c r="E449" s="36"/>
      <c r="F449" s="36"/>
      <c r="H449" s="36"/>
      <c r="I449" s="36"/>
      <c r="J449" s="36"/>
      <c r="K449" s="36"/>
      <c r="L449" s="36"/>
      <c r="M449" s="36"/>
      <c r="O449" s="8"/>
      <c r="P449" s="8"/>
    </row>
    <row r="450" spans="1:16" ht="12.75">
      <c r="A450" s="45" t="s">
        <v>98</v>
      </c>
      <c r="B450" s="20"/>
      <c r="C450" s="36">
        <f>SUM(C444:C449)/5</f>
        <v>3633.2119999999995</v>
      </c>
      <c r="D450" s="36">
        <f>SUM(D444:D449)/5</f>
        <v>0</v>
      </c>
      <c r="E450" s="36">
        <f>SUM(E444:E449)/5</f>
        <v>3633.2119999999995</v>
      </c>
      <c r="F450" s="36">
        <f>SUM(F444:F449)/5</f>
        <v>21046.91581403601</v>
      </c>
      <c r="H450" s="36"/>
      <c r="I450" s="36">
        <f>SUM(I444:I449)/5</f>
        <v>1523.1151821296671</v>
      </c>
      <c r="J450" s="36"/>
      <c r="K450" s="36">
        <f>SUM(K444:K449)/5</f>
        <v>1523.1151821296671</v>
      </c>
      <c r="L450" s="36">
        <f>SUM(L444:L449)/5</f>
        <v>98451.26739927648</v>
      </c>
      <c r="M450" s="36">
        <f>SUM(M444:M449)/5</f>
        <v>119498.1832133125</v>
      </c>
      <c r="O450" s="4">
        <f>F450/M450</f>
        <v>0.17612749623536797</v>
      </c>
      <c r="P450" s="4">
        <f>L450/M450</f>
        <v>0.823872503764632</v>
      </c>
    </row>
    <row r="451" spans="1:16" ht="12.75">
      <c r="A451" s="45"/>
      <c r="B451" s="20"/>
      <c r="C451" s="36"/>
      <c r="D451" s="36"/>
      <c r="E451" s="36"/>
      <c r="F451" s="36"/>
      <c r="H451" s="36"/>
      <c r="I451" s="36"/>
      <c r="J451" s="36"/>
      <c r="K451" s="36"/>
      <c r="L451" s="36"/>
      <c r="M451" s="36"/>
      <c r="O451" s="8"/>
      <c r="P451" s="8"/>
    </row>
    <row r="452" spans="1:16" ht="12.75">
      <c r="A452" s="45">
        <v>1511</v>
      </c>
      <c r="B452" s="20"/>
      <c r="C452" s="34">
        <v>198.36</v>
      </c>
      <c r="D452" s="34"/>
      <c r="E452" s="34">
        <f>C452+D452</f>
        <v>198.36</v>
      </c>
      <c r="F452" s="34">
        <f>5.79292257485553*E452</f>
        <v>1149.084121948343</v>
      </c>
      <c r="H452" s="36">
        <v>2103.646</v>
      </c>
      <c r="I452" s="34">
        <f>H452*0.373241712*(23.875/24)</f>
        <v>781.0790155523586</v>
      </c>
      <c r="J452" s="34"/>
      <c r="K452" s="34">
        <f>I452+J452</f>
        <v>781.0790155523586</v>
      </c>
      <c r="L452" s="34">
        <f>64.6380973378644*K452</f>
        <v>50487.46143583665</v>
      </c>
      <c r="M452" s="34">
        <f>F452+L452</f>
        <v>51636.54555778499</v>
      </c>
      <c r="O452" s="4">
        <f>F452/M452</f>
        <v>0.022253311284397125</v>
      </c>
      <c r="P452" s="4">
        <f>L452/M452</f>
        <v>0.9777466887156029</v>
      </c>
    </row>
    <row r="453" spans="1:16" ht="12.75">
      <c r="A453" s="45">
        <v>1512</v>
      </c>
      <c r="B453" s="20"/>
      <c r="C453" s="34">
        <v>1792.44</v>
      </c>
      <c r="D453" s="34"/>
      <c r="E453" s="34">
        <f>C453+D453</f>
        <v>1792.44</v>
      </c>
      <c r="F453" s="34">
        <f>5.79292257485553*E453</f>
        <v>10383.466140074046</v>
      </c>
      <c r="H453" s="36">
        <v>1121.938</v>
      </c>
      <c r="I453" s="34">
        <f>H453*0.373241712*(23.875/24)</f>
        <v>416.5730491493255</v>
      </c>
      <c r="J453" s="34"/>
      <c r="K453" s="34">
        <f>I453+J453</f>
        <v>416.5730491493255</v>
      </c>
      <c r="L453" s="34">
        <f>64.6380973378644*K453</f>
        <v>26926.489299245073</v>
      </c>
      <c r="M453" s="34">
        <f>F453+L453</f>
        <v>37309.95543931912</v>
      </c>
      <c r="O453" s="4">
        <f>F453/M453</f>
        <v>0.2783028287707742</v>
      </c>
      <c r="P453" s="4">
        <f>L453/M453</f>
        <v>0.7216971712292257</v>
      </c>
    </row>
    <row r="454" spans="1:16" ht="12.75">
      <c r="A454" s="45">
        <v>1513</v>
      </c>
      <c r="B454" s="20"/>
      <c r="C454" s="34">
        <v>2341.33</v>
      </c>
      <c r="D454" s="34"/>
      <c r="E454" s="34">
        <f>C454+D454</f>
        <v>2341.33</v>
      </c>
      <c r="F454" s="34">
        <f>5.79292257485553*E454</f>
        <v>13563.143412186499</v>
      </c>
      <c r="H454" s="36">
        <v>3047.792</v>
      </c>
      <c r="I454" s="34">
        <f>H454*0.373241712*(23.875/24)</f>
        <v>1131.638296067092</v>
      </c>
      <c r="J454" s="34"/>
      <c r="K454" s="34">
        <f>I454+J454</f>
        <v>1131.638296067092</v>
      </c>
      <c r="L454" s="34">
        <f>64.6380973378644*K454</f>
        <v>73146.9463324397</v>
      </c>
      <c r="M454" s="34">
        <f>F454+L454</f>
        <v>86710.0897446262</v>
      </c>
      <c r="O454" s="4">
        <f>F454/M454</f>
        <v>0.15641943690903706</v>
      </c>
      <c r="P454" s="4">
        <f>L454/M454</f>
        <v>0.8435805630909629</v>
      </c>
    </row>
    <row r="455" spans="1:16" ht="12.75">
      <c r="A455" s="45">
        <v>1514</v>
      </c>
      <c r="B455" s="20"/>
      <c r="C455" s="34">
        <v>936.1</v>
      </c>
      <c r="D455" s="34"/>
      <c r="E455" s="34">
        <f>C455+D455</f>
        <v>936.1</v>
      </c>
      <c r="F455" s="34">
        <f>5.79292257485553*E455</f>
        <v>5422.754822322262</v>
      </c>
      <c r="H455" s="36">
        <v>1330.802</v>
      </c>
      <c r="I455" s="34">
        <f>H455*0.373241712*(23.875/24)</f>
        <v>494.1237813087895</v>
      </c>
      <c r="J455" s="34"/>
      <c r="K455" s="34">
        <f>I455+J455</f>
        <v>494.1237813087895</v>
      </c>
      <c r="L455" s="34">
        <f>64.6380973378644*K455</f>
        <v>31939.221073191155</v>
      </c>
      <c r="M455" s="34">
        <f>F455+L455</f>
        <v>37361.97589551342</v>
      </c>
      <c r="O455" s="4">
        <f>F455/M455</f>
        <v>0.14514100746404715</v>
      </c>
      <c r="P455" s="4">
        <f>L455/M455</f>
        <v>0.8548589925359529</v>
      </c>
    </row>
    <row r="456" spans="1:16" ht="12.75">
      <c r="A456" s="45">
        <v>1515</v>
      </c>
      <c r="B456" s="20"/>
      <c r="C456" s="34">
        <v>176.83</v>
      </c>
      <c r="D456" s="34"/>
      <c r="E456" s="34">
        <f>C456+D456</f>
        <v>176.83</v>
      </c>
      <c r="F456" s="34">
        <f>5.79292257485553*E456</f>
        <v>1024.3624989117034</v>
      </c>
      <c r="H456" s="36">
        <v>1749.489</v>
      </c>
      <c r="I456" s="34">
        <f>H456*0.373241712*(23.875/24)</f>
        <v>649.5813201649327</v>
      </c>
      <c r="J456" s="34"/>
      <c r="K456" s="34">
        <f>I456+J456</f>
        <v>649.5813201649327</v>
      </c>
      <c r="L456" s="34">
        <f>64.6380973378644*K456</f>
        <v>41987.700601679375</v>
      </c>
      <c r="M456" s="34">
        <f>F456+L456</f>
        <v>43012.06310059108</v>
      </c>
      <c r="O456" s="4">
        <f>F456/M456</f>
        <v>0.02381570250457543</v>
      </c>
      <c r="P456" s="4">
        <f>L456/M456</f>
        <v>0.9761842974954246</v>
      </c>
    </row>
    <row r="457" spans="1:16" ht="12.75">
      <c r="A457" s="45"/>
      <c r="B457" s="20"/>
      <c r="C457" s="36"/>
      <c r="D457" s="34"/>
      <c r="E457" s="36"/>
      <c r="F457" s="36"/>
      <c r="H457" s="36"/>
      <c r="I457" s="36"/>
      <c r="J457" s="36"/>
      <c r="K457" s="36"/>
      <c r="L457" s="36"/>
      <c r="M457" s="36"/>
      <c r="O457" s="8"/>
      <c r="P457" s="8"/>
    </row>
    <row r="458" spans="1:16" ht="12.75">
      <c r="A458" s="45" t="s">
        <v>100</v>
      </c>
      <c r="B458" s="20"/>
      <c r="C458" s="36">
        <f>SUM(C452:C457)/5</f>
        <v>1089.0120000000002</v>
      </c>
      <c r="D458" s="36">
        <f>SUM(D452:D457)/5</f>
        <v>0</v>
      </c>
      <c r="E458" s="36">
        <f>SUM(E452:E457)/5</f>
        <v>1089.0120000000002</v>
      </c>
      <c r="F458" s="36">
        <f>SUM(F452:F457)/5</f>
        <v>6308.56219908857</v>
      </c>
      <c r="G458" s="20"/>
      <c r="H458" s="36"/>
      <c r="I458" s="36">
        <f>SUM(I452:I457)/5</f>
        <v>694.5990924484996</v>
      </c>
      <c r="J458" s="36"/>
      <c r="K458" s="36">
        <f>SUM(K452:K457)/5</f>
        <v>694.5990924484996</v>
      </c>
      <c r="L458" s="36">
        <f>SUM(L452:L457)/5</f>
        <v>44897.56374847839</v>
      </c>
      <c r="M458" s="36">
        <f>SUM(M452:M457)/5</f>
        <v>51206.12594756696</v>
      </c>
      <c r="O458" s="4">
        <f>F458/M458</f>
        <v>0.12319936496559587</v>
      </c>
      <c r="P458" s="4">
        <f>L458/M458</f>
        <v>0.8768006350344041</v>
      </c>
    </row>
    <row r="459" spans="1:16" ht="12.75">
      <c r="A459" s="45"/>
      <c r="B459" s="20"/>
      <c r="C459" s="36"/>
      <c r="D459" s="34"/>
      <c r="E459" s="36"/>
      <c r="F459" s="36"/>
      <c r="H459" s="36"/>
      <c r="I459" s="36"/>
      <c r="J459" s="36"/>
      <c r="K459" s="36"/>
      <c r="L459" s="36"/>
      <c r="M459" s="36"/>
      <c r="O459" s="8"/>
      <c r="P459" s="8"/>
    </row>
    <row r="460" spans="1:16" ht="12.75">
      <c r="A460" s="45">
        <v>1516</v>
      </c>
      <c r="B460" s="20"/>
      <c r="C460" s="34">
        <v>31.19</v>
      </c>
      <c r="D460" s="34"/>
      <c r="E460" s="34">
        <f>C460+D460</f>
        <v>31.19</v>
      </c>
      <c r="F460" s="34">
        <f>5.79292257485553*E460</f>
        <v>180.681255109744</v>
      </c>
      <c r="H460" s="36">
        <v>2230.375</v>
      </c>
      <c r="I460" s="34">
        <f>H460*0.373241712*(23.875/24)</f>
        <v>828.1332074467813</v>
      </c>
      <c r="J460" s="34"/>
      <c r="K460" s="34">
        <f>I460+J460</f>
        <v>828.1332074467813</v>
      </c>
      <c r="L460" s="34">
        <f>64.6380973378644*K460</f>
        <v>53528.95487166289</v>
      </c>
      <c r="M460" s="34">
        <f>F460+L460</f>
        <v>53709.63612677264</v>
      </c>
      <c r="O460" s="4">
        <f>F460/M460</f>
        <v>0.003364037966730514</v>
      </c>
      <c r="P460" s="4">
        <f>L460/M460</f>
        <v>0.9966359620332694</v>
      </c>
    </row>
    <row r="461" spans="1:16" ht="12.75">
      <c r="A461" s="45">
        <v>1517</v>
      </c>
      <c r="B461" s="20"/>
      <c r="C461" s="34">
        <f>(C460+C462)/2</f>
        <v>102.035</v>
      </c>
      <c r="D461" s="34"/>
      <c r="E461" s="34">
        <f>C461+D461</f>
        <v>102.035</v>
      </c>
      <c r="F461" s="34">
        <f>5.79292257485553*E461</f>
        <v>591.080854925384</v>
      </c>
      <c r="H461" s="34">
        <f>(H460+H462)/2</f>
        <v>2071.3175</v>
      </c>
      <c r="I461" s="34">
        <f>H461*0.373241712*(23.875/24)</f>
        <v>769.0755164112081</v>
      </c>
      <c r="J461" s="34"/>
      <c r="K461" s="34">
        <f>I461+J461</f>
        <v>769.0755164112081</v>
      </c>
      <c r="L461" s="34">
        <f>64.6380973378644*K461</f>
        <v>49711.578089956</v>
      </c>
      <c r="M461" s="34">
        <f>F461+L461</f>
        <v>50302.65894488138</v>
      </c>
      <c r="O461" s="4">
        <f>F461/M461</f>
        <v>0.011750489284732536</v>
      </c>
      <c r="P461" s="4">
        <f>L461/M461</f>
        <v>0.9882495107152675</v>
      </c>
    </row>
    <row r="462" spans="1:16" ht="12.75">
      <c r="A462" s="45">
        <v>1518</v>
      </c>
      <c r="B462" s="20"/>
      <c r="C462" s="34">
        <v>172.88</v>
      </c>
      <c r="D462" s="34"/>
      <c r="E462" s="34">
        <f>C462+D462</f>
        <v>172.88</v>
      </c>
      <c r="F462" s="34">
        <f>5.79292257485553*E462</f>
        <v>1001.480454741024</v>
      </c>
      <c r="H462" s="36">
        <v>1912.26</v>
      </c>
      <c r="I462" s="34">
        <f>H462*0.373241712*(23.875/24)</f>
        <v>710.017825375635</v>
      </c>
      <c r="J462" s="34"/>
      <c r="K462" s="34">
        <f>I462+J462</f>
        <v>710.017825375635</v>
      </c>
      <c r="L462" s="34">
        <f>64.6380973378644*K462</f>
        <v>45894.201308249096</v>
      </c>
      <c r="M462" s="34">
        <f>F462+L462</f>
        <v>46895.68176299012</v>
      </c>
      <c r="O462" s="4">
        <f>F462/M462</f>
        <v>0.021355494090105932</v>
      </c>
      <c r="P462" s="4">
        <f>L462/M462</f>
        <v>0.978644505909894</v>
      </c>
    </row>
    <row r="463" spans="1:16" ht="12.75">
      <c r="A463" s="45">
        <v>1519</v>
      </c>
      <c r="B463" s="20"/>
      <c r="C463" s="34">
        <v>78.41</v>
      </c>
      <c r="D463" s="34"/>
      <c r="E463" s="34">
        <f>C463+D463</f>
        <v>78.41</v>
      </c>
      <c r="F463" s="34">
        <f>5.79292257485553*E463</f>
        <v>454.2230590944221</v>
      </c>
      <c r="H463" s="36">
        <v>2288.729</v>
      </c>
      <c r="I463" s="34">
        <f>H463*0.373241712*(23.875/24)</f>
        <v>849.7999160439226</v>
      </c>
      <c r="J463" s="34"/>
      <c r="K463" s="34">
        <f>I463+J463</f>
        <v>849.7999160439226</v>
      </c>
      <c r="L463" s="34">
        <f>64.6380973378644*K463</f>
        <v>54929.44969095606</v>
      </c>
      <c r="M463" s="34">
        <f>F463+L463</f>
        <v>55383.672750050486</v>
      </c>
      <c r="O463" s="4">
        <f>F463/M463</f>
        <v>0.008201389264022908</v>
      </c>
      <c r="P463" s="4">
        <f>L463/M463</f>
        <v>0.9917986107359771</v>
      </c>
    </row>
    <row r="464" spans="1:16" ht="12.75">
      <c r="A464" s="45">
        <v>1520</v>
      </c>
      <c r="B464" s="20"/>
      <c r="C464" s="34">
        <v>11.21</v>
      </c>
      <c r="D464" s="34"/>
      <c r="E464" s="34">
        <f>C464+D464</f>
        <v>11.21</v>
      </c>
      <c r="F464" s="34">
        <f>5.79292257485553*E464</f>
        <v>64.9386620641305</v>
      </c>
      <c r="H464" s="36">
        <v>1511.604</v>
      </c>
      <c r="I464" s="34">
        <f>H464*0.373241712*(23.875/24)</f>
        <v>561.255156155079</v>
      </c>
      <c r="J464" s="34"/>
      <c r="K464" s="34">
        <f>I464+J464</f>
        <v>561.255156155079</v>
      </c>
      <c r="L464" s="34">
        <f>64.6380973378644*K464</f>
        <v>36278.46541493028</v>
      </c>
      <c r="M464" s="34">
        <f>F464+L464</f>
        <v>36343.40407699441</v>
      </c>
      <c r="O464" s="4">
        <f>F464/M464</f>
        <v>0.0017868073647299607</v>
      </c>
      <c r="P464" s="4">
        <f>L464/M464</f>
        <v>0.9982131926352701</v>
      </c>
    </row>
    <row r="465" spans="1:16" ht="12.75">
      <c r="A465" s="45"/>
      <c r="B465" s="20"/>
      <c r="C465" s="36"/>
      <c r="D465" s="34"/>
      <c r="E465" s="36"/>
      <c r="F465" s="36"/>
      <c r="H465" s="36"/>
      <c r="I465" s="36"/>
      <c r="J465" s="36"/>
      <c r="K465" s="36"/>
      <c r="L465" s="36"/>
      <c r="M465" s="36"/>
      <c r="O465" s="8"/>
      <c r="P465" s="8"/>
    </row>
    <row r="466" spans="1:16" ht="12.75">
      <c r="A466" s="45" t="s">
        <v>101</v>
      </c>
      <c r="B466" s="20"/>
      <c r="C466" s="36">
        <f>SUM(C460:C465)/5</f>
        <v>79.145</v>
      </c>
      <c r="D466" s="36">
        <f>SUM(D460:D465)/5</f>
        <v>0</v>
      </c>
      <c r="E466" s="36">
        <f>SUM(E460:E465)/5</f>
        <v>79.145</v>
      </c>
      <c r="F466" s="36">
        <f>SUM(F460:F465)/5</f>
        <v>458.4808571869409</v>
      </c>
      <c r="H466" s="36"/>
      <c r="I466" s="36">
        <f>SUM(I460:I465)/5</f>
        <v>743.6563242865252</v>
      </c>
      <c r="J466" s="36"/>
      <c r="K466" s="36">
        <f>SUM(K460:K465)/5</f>
        <v>743.6563242865252</v>
      </c>
      <c r="L466" s="36">
        <f>SUM(L460:L465)/5</f>
        <v>48068.52987515087</v>
      </c>
      <c r="M466" s="36">
        <f>SUM(M460:M465)/5</f>
        <v>48527.01073233781</v>
      </c>
      <c r="O466" s="4">
        <f>F466/M466</f>
        <v>0.00944795177505988</v>
      </c>
      <c r="P466" s="4">
        <f>L466/M466</f>
        <v>0.99055204822494</v>
      </c>
    </row>
    <row r="467" spans="1:16" ht="12.75">
      <c r="A467" s="45"/>
      <c r="B467" s="20"/>
      <c r="C467" s="36"/>
      <c r="D467" s="34"/>
      <c r="E467" s="36"/>
      <c r="F467" s="36"/>
      <c r="H467" s="36"/>
      <c r="I467" s="36"/>
      <c r="J467" s="36"/>
      <c r="K467" s="36"/>
      <c r="L467" s="36"/>
      <c r="M467" s="36"/>
      <c r="O467" s="8"/>
      <c r="P467" s="8"/>
    </row>
    <row r="468" spans="1:16" ht="12.75">
      <c r="A468" s="45">
        <v>1521</v>
      </c>
      <c r="B468" s="20"/>
      <c r="C468" s="34">
        <v>256.46</v>
      </c>
      <c r="D468" s="34"/>
      <c r="E468" s="34">
        <f>C468+D468</f>
        <v>256.46</v>
      </c>
      <c r="F468" s="34">
        <f>5.79292257485553*E468</f>
        <v>1485.652923547449</v>
      </c>
      <c r="H468" s="36">
        <v>1128.26</v>
      </c>
      <c r="I468" s="34">
        <f>H468*0.373241712*(23.875/24)</f>
        <v>418.92039349163497</v>
      </c>
      <c r="J468" s="34"/>
      <c r="K468" s="34">
        <f>I468+J468</f>
        <v>418.92039349163497</v>
      </c>
      <c r="L468" s="34">
        <f>64.6380973378644*K468</f>
        <v>27078.217171328753</v>
      </c>
      <c r="M468" s="34">
        <f>F468+L468</f>
        <v>28563.8700948762</v>
      </c>
      <c r="O468" s="4">
        <f>F468/M468</f>
        <v>0.05201161182335534</v>
      </c>
      <c r="P468" s="4">
        <f>L468/M468</f>
        <v>0.9479883881766447</v>
      </c>
    </row>
    <row r="469" spans="1:16" ht="12.75">
      <c r="A469" s="45">
        <v>1522</v>
      </c>
      <c r="B469" s="20"/>
      <c r="C469" s="34">
        <v>2457.65</v>
      </c>
      <c r="D469" s="34"/>
      <c r="E469" s="34">
        <f>C469+D469</f>
        <v>2457.65</v>
      </c>
      <c r="F469" s="34">
        <f>5.79292257485553*E469</f>
        <v>14236.976166093695</v>
      </c>
      <c r="H469" s="36">
        <v>611.958</v>
      </c>
      <c r="I469" s="34">
        <f>H469*0.373241712*(23.875/24)</f>
        <v>227.21862528172048</v>
      </c>
      <c r="J469" s="34"/>
      <c r="K469" s="34">
        <f>I469+J469</f>
        <v>227.21862528172048</v>
      </c>
      <c r="L469" s="34">
        <f>64.6380973378644*K469</f>
        <v>14686.979617935584</v>
      </c>
      <c r="M469" s="34">
        <f>F469+L469</f>
        <v>28923.955784029276</v>
      </c>
      <c r="O469" s="4">
        <f>F469/M469</f>
        <v>0.49222092138430174</v>
      </c>
      <c r="P469" s="4">
        <f>L469/M469</f>
        <v>0.5077790786156983</v>
      </c>
    </row>
    <row r="470" spans="1:16" ht="12.75">
      <c r="A470" s="45">
        <v>1523</v>
      </c>
      <c r="B470" s="20"/>
      <c r="C470" s="34">
        <v>3031.38</v>
      </c>
      <c r="D470" s="34"/>
      <c r="E470" s="34">
        <f>C470+D470</f>
        <v>3031.38</v>
      </c>
      <c r="F470" s="34">
        <f>5.79292257485553*E470</f>
        <v>17560.54963496556</v>
      </c>
      <c r="H470" s="36">
        <v>380.854</v>
      </c>
      <c r="I470" s="34">
        <f>H470*0.373241712*(23.875/24)</f>
        <v>141.4102312790165</v>
      </c>
      <c r="J470" s="34"/>
      <c r="K470" s="34">
        <f>I470+J470</f>
        <v>141.4102312790165</v>
      </c>
      <c r="L470" s="34">
        <f>64.6380973378644*K470</f>
        <v>9140.488293982984</v>
      </c>
      <c r="M470" s="34">
        <f>F470+L470</f>
        <v>26701.037928948543</v>
      </c>
      <c r="O470" s="4">
        <f>F470/M470</f>
        <v>0.6576729219925525</v>
      </c>
      <c r="P470" s="4">
        <f>L470/M470</f>
        <v>0.34232707800744755</v>
      </c>
    </row>
    <row r="471" spans="1:16" ht="12.75">
      <c r="A471" s="45">
        <v>1524</v>
      </c>
      <c r="B471" s="20"/>
      <c r="C471" s="34">
        <f>(C470+C472)/2</f>
        <v>4342.307500000001</v>
      </c>
      <c r="D471" s="34"/>
      <c r="E471" s="34">
        <f>C471+D471</f>
        <v>4342.307500000001</v>
      </c>
      <c r="F471" s="34">
        <f>5.79292257485553*E471</f>
        <v>25154.651143714484</v>
      </c>
      <c r="H471" s="36"/>
      <c r="I471" s="34">
        <f>(I470+I472)/2</f>
        <v>521.5123699134663</v>
      </c>
      <c r="J471" s="34"/>
      <c r="K471" s="34">
        <f>I471+J471</f>
        <v>521.5123699134663</v>
      </c>
      <c r="L471" s="34">
        <f>64.6380973378644*K471</f>
        <v>33709.567329366975</v>
      </c>
      <c r="M471" s="34">
        <f>F471+L471</f>
        <v>58864.21847308146</v>
      </c>
      <c r="O471" s="4">
        <f>F471/M471</f>
        <v>0.42733347687640966</v>
      </c>
      <c r="P471" s="4">
        <f>L471/M471</f>
        <v>0.5726665231235902</v>
      </c>
    </row>
    <row r="472" spans="1:16" ht="12.75">
      <c r="A472" s="45">
        <v>1525</v>
      </c>
      <c r="B472" s="20"/>
      <c r="C472" s="34">
        <f>(C470+C477)/2</f>
        <v>5653.235000000001</v>
      </c>
      <c r="D472" s="34"/>
      <c r="E472" s="34">
        <f>C472+D472</f>
        <v>5653.235000000001</v>
      </c>
      <c r="F472" s="34">
        <f>5.79292257485553*E472</f>
        <v>32748.752652463405</v>
      </c>
      <c r="H472" s="36"/>
      <c r="I472" s="34">
        <f>(I470+I477)/2</f>
        <v>901.6145085479161</v>
      </c>
      <c r="J472" s="34"/>
      <c r="K472" s="34">
        <f>I472+J472</f>
        <v>901.6145085479161</v>
      </c>
      <c r="L472" s="34">
        <f>64.6380973378644*K472</f>
        <v>58278.64636475097</v>
      </c>
      <c r="M472" s="34">
        <f>F472+L472</f>
        <v>91027.39901721438</v>
      </c>
      <c r="O472" s="4">
        <f>F472/M472</f>
        <v>0.3597680808859563</v>
      </c>
      <c r="P472" s="4">
        <f>L472/M472</f>
        <v>0.6402319191140436</v>
      </c>
    </row>
    <row r="473" spans="1:16" ht="12.75">
      <c r="A473" s="45"/>
      <c r="B473" s="20"/>
      <c r="C473" s="36"/>
      <c r="D473" s="34"/>
      <c r="E473" s="36"/>
      <c r="F473" s="36"/>
      <c r="H473" s="36"/>
      <c r="I473" s="36"/>
      <c r="J473" s="36"/>
      <c r="K473" s="36"/>
      <c r="L473" s="36"/>
      <c r="M473" s="36"/>
      <c r="O473" s="8"/>
      <c r="P473" s="8"/>
    </row>
    <row r="474" spans="1:16" ht="12.75">
      <c r="A474" s="45" t="s">
        <v>103</v>
      </c>
      <c r="B474" s="20"/>
      <c r="C474" s="36">
        <f>SUM(C468:C473)/5</f>
        <v>3148.2065000000002</v>
      </c>
      <c r="D474" s="36">
        <f>SUM(D468:D473)/5</f>
        <v>0</v>
      </c>
      <c r="E474" s="36">
        <f>SUM(E468:E473)/5</f>
        <v>3148.2065000000002</v>
      </c>
      <c r="F474" s="36">
        <f>SUM(F468:F473)/5</f>
        <v>18237.31650415692</v>
      </c>
      <c r="H474" s="36"/>
      <c r="I474" s="36">
        <f>SUM(I468:I473)/5</f>
        <v>442.1352257027509</v>
      </c>
      <c r="J474" s="36"/>
      <c r="K474" s="36">
        <f>SUM(K468:K473)/5</f>
        <v>442.1352257027509</v>
      </c>
      <c r="L474" s="36">
        <f>SUM(L468:L473)/5</f>
        <v>28578.779755473057</v>
      </c>
      <c r="M474" s="36">
        <f>SUM(M468:M473)/5</f>
        <v>46816.09625962997</v>
      </c>
      <c r="O474" s="4">
        <f>F474/M474</f>
        <v>0.38955226858338365</v>
      </c>
      <c r="P474" s="4">
        <f>L474/M474</f>
        <v>0.6104477314166163</v>
      </c>
    </row>
    <row r="475" spans="1:16" ht="12.75">
      <c r="A475" s="45"/>
      <c r="B475" s="20"/>
      <c r="C475" s="36"/>
      <c r="D475" s="34"/>
      <c r="E475" s="36"/>
      <c r="F475" s="36"/>
      <c r="H475" s="36"/>
      <c r="I475" s="36"/>
      <c r="J475" s="36"/>
      <c r="K475" s="36"/>
      <c r="L475" s="36"/>
      <c r="M475" s="36"/>
      <c r="O475" s="8"/>
      <c r="P475" s="8"/>
    </row>
    <row r="476" spans="1:16" ht="12.75">
      <c r="A476" s="45">
        <v>1526</v>
      </c>
      <c r="B476" s="20"/>
      <c r="C476" s="34">
        <f>(C472+C477)/2</f>
        <v>6964.1625</v>
      </c>
      <c r="D476" s="34"/>
      <c r="E476" s="34">
        <f>C476+D476</f>
        <v>6964.1625</v>
      </c>
      <c r="F476" s="34">
        <v>45385.5</v>
      </c>
      <c r="H476" s="36"/>
      <c r="I476" s="34">
        <f>(I472+I477)/2</f>
        <v>1281.716647182366</v>
      </c>
      <c r="J476" s="34"/>
      <c r="K476" s="34">
        <f>I476+J476</f>
        <v>1281.716647182366</v>
      </c>
      <c r="L476" s="34">
        <v>94123.33</v>
      </c>
      <c r="M476" s="34">
        <f>F476+L476</f>
        <v>139508.83000000002</v>
      </c>
      <c r="O476" s="4">
        <f>F476/M476</f>
        <v>0.3253234938605678</v>
      </c>
      <c r="P476" s="4">
        <f>L476/M476</f>
        <v>0.6746765061394321</v>
      </c>
    </row>
    <row r="477" spans="1:16" ht="12.75">
      <c r="A477" s="45">
        <v>1527</v>
      </c>
      <c r="B477" s="20"/>
      <c r="C477" s="34">
        <v>8275.09</v>
      </c>
      <c r="D477" s="34"/>
      <c r="E477" s="34">
        <f>C477+D477</f>
        <v>8275.09</v>
      </c>
      <c r="F477" s="34">
        <f>6.51703836232909*E477</f>
        <v>53929.07898172583</v>
      </c>
      <c r="H477" s="36">
        <v>4857.156</v>
      </c>
      <c r="I477" s="34">
        <f>H477*0.373241712*(22/24)</f>
        <v>1661.8187858168158</v>
      </c>
      <c r="J477" s="34"/>
      <c r="K477" s="34">
        <f>I477+J477</f>
        <v>1661.8187858168158</v>
      </c>
      <c r="L477" s="34">
        <f>73.43517318279*K477</f>
        <v>122035.95033487165</v>
      </c>
      <c r="M477" s="34">
        <f>F477+L477</f>
        <v>175965.02931659747</v>
      </c>
      <c r="O477" s="4">
        <f>F477/M477</f>
        <v>0.3064761173920317</v>
      </c>
      <c r="P477" s="4">
        <f>L477/M477</f>
        <v>0.6935238826079684</v>
      </c>
    </row>
    <row r="478" spans="1:16" ht="12.75">
      <c r="A478" s="45">
        <v>1528</v>
      </c>
      <c r="B478" s="20"/>
      <c r="C478" s="34">
        <v>11056.15</v>
      </c>
      <c r="D478" s="34"/>
      <c r="E478" s="34">
        <f>C478+D478</f>
        <v>11056.15</v>
      </c>
      <c r="F478" s="34">
        <f>6.51703836232909*E478</f>
        <v>72053.35368966476</v>
      </c>
      <c r="H478" s="36">
        <v>1231.063</v>
      </c>
      <c r="I478" s="34">
        <f>H478*0.373241712*(22/24)</f>
        <v>421.19372322486805</v>
      </c>
      <c r="J478" s="34"/>
      <c r="K478" s="34">
        <f>I478+J478</f>
        <v>421.19372322486805</v>
      </c>
      <c r="L478" s="34">
        <f>73.43517318279*K478</f>
        <v>30930.4340085223</v>
      </c>
      <c r="M478" s="34">
        <f>F478+L478</f>
        <v>102983.78769818705</v>
      </c>
      <c r="O478" s="4">
        <f>F478/M478</f>
        <v>0.6996572499433636</v>
      </c>
      <c r="P478" s="4">
        <f>L478/M478</f>
        <v>0.3003427500566364</v>
      </c>
    </row>
    <row r="479" spans="1:16" ht="12.75">
      <c r="A479" s="45">
        <v>1529</v>
      </c>
      <c r="B479" s="20"/>
      <c r="C479" s="34">
        <v>11056.15</v>
      </c>
      <c r="D479" s="34"/>
      <c r="E479" s="34">
        <f>C479+D479</f>
        <v>11056.15</v>
      </c>
      <c r="F479" s="34">
        <f>6.51703836232909*E479</f>
        <v>72053.35368966476</v>
      </c>
      <c r="H479" s="36">
        <v>533.167</v>
      </c>
      <c r="I479" s="34">
        <f>H479*0.373241712*(22/24)</f>
        <v>182.41681687341202</v>
      </c>
      <c r="J479" s="34"/>
      <c r="K479" s="34">
        <f>I479+J479</f>
        <v>182.41681687341202</v>
      </c>
      <c r="L479" s="34">
        <f>73.43517318279*K479</f>
        <v>13395.8105385523</v>
      </c>
      <c r="M479" s="34">
        <f>F479+L479</f>
        <v>85449.16422821705</v>
      </c>
      <c r="O479" s="4">
        <f>F479/M479</f>
        <v>0.8432306429261864</v>
      </c>
      <c r="P479" s="4">
        <f>L479/M479</f>
        <v>0.15676935707381362</v>
      </c>
    </row>
    <row r="480" spans="1:16" ht="12.75">
      <c r="A480" s="45">
        <v>1530</v>
      </c>
      <c r="B480" s="20"/>
      <c r="C480" s="34">
        <v>8871.95</v>
      </c>
      <c r="D480" s="34"/>
      <c r="E480" s="34">
        <f>C480+D480</f>
        <v>8871.95</v>
      </c>
      <c r="F480" s="34">
        <f>6.51703836232909*E480</f>
        <v>57818.83849866557</v>
      </c>
      <c r="H480" s="36">
        <v>394.458</v>
      </c>
      <c r="I480" s="34">
        <f>H480*0.373241712*(22/24)</f>
        <v>134.959164296088</v>
      </c>
      <c r="J480" s="34"/>
      <c r="K480" s="34">
        <f>I480+J480</f>
        <v>134.959164296088</v>
      </c>
      <c r="L480" s="34">
        <f>73.43517318279*K480</f>
        <v>9910.74960268783</v>
      </c>
      <c r="M480" s="34">
        <f>F480+L480</f>
        <v>67729.58810135341</v>
      </c>
      <c r="O480" s="4">
        <f>F480/M480</f>
        <v>0.8536717868731614</v>
      </c>
      <c r="P480" s="4">
        <f>L480/M480</f>
        <v>0.14632821312683855</v>
      </c>
    </row>
    <row r="481" spans="1:16" ht="12.75">
      <c r="A481" s="45"/>
      <c r="B481" s="20"/>
      <c r="C481" s="36"/>
      <c r="D481" s="34"/>
      <c r="E481" s="36"/>
      <c r="F481" s="36"/>
      <c r="H481" s="36"/>
      <c r="I481" s="36"/>
      <c r="J481" s="36"/>
      <c r="K481" s="36"/>
      <c r="L481" s="36"/>
      <c r="M481" s="36"/>
      <c r="O481" s="8"/>
      <c r="P481" s="8"/>
    </row>
    <row r="482" spans="1:16" ht="12.75">
      <c r="A482" s="45" t="s">
        <v>107</v>
      </c>
      <c r="B482" s="20"/>
      <c r="C482" s="36">
        <f>SUM(C476:C481)/5</f>
        <v>9244.7005</v>
      </c>
      <c r="D482" s="36">
        <f>SUM(D476:D481)/5</f>
        <v>0</v>
      </c>
      <c r="E482" s="36">
        <f>SUM(E476:E481)/5</f>
        <v>9244.7005</v>
      </c>
      <c r="F482" s="36">
        <f>SUM(F476:F481)/5</f>
        <v>60248.024971944185</v>
      </c>
      <c r="H482" s="36"/>
      <c r="I482" s="36">
        <f>SUM(I476:I481)/5</f>
        <v>736.4210274787099</v>
      </c>
      <c r="J482" s="36"/>
      <c r="K482" s="36">
        <f>SUM(K476:K481)/5</f>
        <v>736.4210274787099</v>
      </c>
      <c r="L482" s="36">
        <f>SUM(L476:L481)/5</f>
        <v>54079.254896926825</v>
      </c>
      <c r="M482" s="36">
        <f>SUM(M476:M481)/5</f>
        <v>114327.279868871</v>
      </c>
      <c r="O482" s="4">
        <f>F482/M482</f>
        <v>0.5269785570079718</v>
      </c>
      <c r="P482" s="4">
        <f>L482/M482</f>
        <v>0.47302144299202825</v>
      </c>
    </row>
    <row r="483" spans="1:16" ht="12.75">
      <c r="A483" s="45"/>
      <c r="B483" s="20"/>
      <c r="C483" s="36"/>
      <c r="D483" s="34"/>
      <c r="E483" s="36"/>
      <c r="F483" s="36"/>
      <c r="H483" s="36"/>
      <c r="I483" s="36"/>
      <c r="J483" s="36"/>
      <c r="K483" s="36"/>
      <c r="L483" s="36"/>
      <c r="M483" s="36"/>
      <c r="O483" s="8"/>
      <c r="P483" s="8"/>
    </row>
    <row r="484" spans="1:16" ht="12.75">
      <c r="A484" s="45">
        <v>1531</v>
      </c>
      <c r="B484" s="20"/>
      <c r="C484" s="34">
        <v>5016.43</v>
      </c>
      <c r="D484" s="34"/>
      <c r="E484" s="34">
        <f>C484+D484</f>
        <v>5016.43</v>
      </c>
      <c r="F484" s="34">
        <f>6.51703836232909*E484</f>
        <v>32692.266751938518</v>
      </c>
      <c r="H484" s="36">
        <v>320.25</v>
      </c>
      <c r="I484" s="34">
        <f>H484*0.373241712*(22/24)</f>
        <v>109.569770079</v>
      </c>
      <c r="J484" s="34"/>
      <c r="K484" s="34">
        <f>I484+J484</f>
        <v>109.569770079</v>
      </c>
      <c r="L484" s="34">
        <f>73.43517318279*K484</f>
        <v>8046.275041349846</v>
      </c>
      <c r="M484" s="34">
        <f>F484+L484</f>
        <v>40738.541793288365</v>
      </c>
      <c r="O484" s="4">
        <f>F484/M484</f>
        <v>0.8024898612675562</v>
      </c>
      <c r="P484" s="4">
        <f>L484/M484</f>
        <v>0.19751013873244383</v>
      </c>
    </row>
    <row r="485" spans="1:16" ht="12.75">
      <c r="A485" s="45">
        <v>1532</v>
      </c>
      <c r="B485" s="20"/>
      <c r="C485" s="34">
        <v>5016.43</v>
      </c>
      <c r="D485" s="34"/>
      <c r="E485" s="34">
        <f>C485+D485</f>
        <v>5016.43</v>
      </c>
      <c r="F485" s="34">
        <f>6.51703836232909*E485</f>
        <v>32692.266751938518</v>
      </c>
      <c r="H485" s="36"/>
      <c r="I485" s="34">
        <v>166.42</v>
      </c>
      <c r="J485" s="34"/>
      <c r="K485" s="34">
        <f>I485+J485</f>
        <v>166.42</v>
      </c>
      <c r="L485" s="34">
        <f>73.43517318279*K485</f>
        <v>12221.08152107991</v>
      </c>
      <c r="M485" s="34">
        <f>F485+L485</f>
        <v>44913.348273018426</v>
      </c>
      <c r="O485" s="4">
        <f>F485/M485</f>
        <v>0.7278964496970783</v>
      </c>
      <c r="P485" s="4">
        <f>L485/M485</f>
        <v>0.27210355030292166</v>
      </c>
    </row>
    <row r="486" spans="1:16" ht="12.75">
      <c r="A486" s="45">
        <v>1533</v>
      </c>
      <c r="B486" s="20"/>
      <c r="C486" s="34">
        <v>4566.78</v>
      </c>
      <c r="D486" s="34"/>
      <c r="E486" s="34">
        <f>C486+D486</f>
        <v>4566.78</v>
      </c>
      <c r="F486" s="34">
        <f>6.51703836232909*E486</f>
        <v>29761.88045231724</v>
      </c>
      <c r="H486" s="36">
        <v>652.571</v>
      </c>
      <c r="I486" s="34">
        <f>H486*0.373241712*(22/24)</f>
        <v>223.269490804756</v>
      </c>
      <c r="J486" s="34"/>
      <c r="K486" s="34">
        <f>I486+J486</f>
        <v>223.269490804756</v>
      </c>
      <c r="L486" s="34">
        <f>73.43517318279*K486</f>
        <v>16395.833723680596</v>
      </c>
      <c r="M486" s="34">
        <f>F486+L486</f>
        <v>46157.71417599784</v>
      </c>
      <c r="O486" s="4">
        <f>F486/M486</f>
        <v>0.6447867053995823</v>
      </c>
      <c r="P486" s="4">
        <f>L486/M486</f>
        <v>0.3552132946004177</v>
      </c>
    </row>
    <row r="487" spans="1:16" ht="12.75">
      <c r="A487" s="45">
        <v>1534</v>
      </c>
      <c r="B487" s="20"/>
      <c r="C487" s="34">
        <v>4242.26</v>
      </c>
      <c r="D487" s="34"/>
      <c r="E487" s="34">
        <f>C487+D487</f>
        <v>4242.26</v>
      </c>
      <c r="F487" s="34">
        <f>6.51703836232909*E487</f>
        <v>27646.971162974205</v>
      </c>
      <c r="H487" s="36">
        <v>652.571</v>
      </c>
      <c r="I487" s="34">
        <f>H487*0.373241712*(22/24)</f>
        <v>223.269490804756</v>
      </c>
      <c r="J487" s="34"/>
      <c r="K487" s="34">
        <f>I487+J487</f>
        <v>223.269490804756</v>
      </c>
      <c r="L487" s="34">
        <f>73.43517318279*K487</f>
        <v>16395.833723680596</v>
      </c>
      <c r="M487" s="34">
        <f>F487+L487</f>
        <v>44042.804886654805</v>
      </c>
      <c r="O487" s="4">
        <f>F487/M487</f>
        <v>0.6277295743112714</v>
      </c>
      <c r="P487" s="4">
        <f>L487/M487</f>
        <v>0.37227042568872853</v>
      </c>
    </row>
    <row r="488" spans="1:16" ht="12.75">
      <c r="A488" s="45">
        <v>1535</v>
      </c>
      <c r="B488" s="20"/>
      <c r="C488" s="34">
        <v>4242.26</v>
      </c>
      <c r="D488" s="34"/>
      <c r="E488" s="34">
        <f>C488+D488</f>
        <v>4242.26</v>
      </c>
      <c r="F488" s="34">
        <f>6.51703836232909*E488</f>
        <v>27646.971162974205</v>
      </c>
      <c r="H488" s="36">
        <v>652.571</v>
      </c>
      <c r="I488" s="34">
        <f>H488*0.373241712*(22/24)</f>
        <v>223.269490804756</v>
      </c>
      <c r="J488" s="34"/>
      <c r="K488" s="34">
        <f>I488+J488</f>
        <v>223.269490804756</v>
      </c>
      <c r="L488" s="34">
        <f>73.43517318279*K488</f>
        <v>16395.833723680596</v>
      </c>
      <c r="M488" s="34">
        <f>F488+L488</f>
        <v>44042.804886654805</v>
      </c>
      <c r="O488" s="4">
        <f>F488/M488</f>
        <v>0.6277295743112714</v>
      </c>
      <c r="P488" s="4">
        <f>L488/M488</f>
        <v>0.37227042568872853</v>
      </c>
    </row>
    <row r="489" spans="1:16" ht="12.75">
      <c r="A489" s="45"/>
      <c r="B489" s="20"/>
      <c r="C489" s="36"/>
      <c r="D489" s="34"/>
      <c r="E489" s="36"/>
      <c r="F489" s="36"/>
      <c r="H489" s="36"/>
      <c r="I489" s="36"/>
      <c r="J489" s="36"/>
      <c r="K489" s="36"/>
      <c r="L489" s="36"/>
      <c r="M489" s="36"/>
      <c r="O489" s="8"/>
      <c r="P489" s="8"/>
    </row>
    <row r="490" spans="1:16" ht="12.75">
      <c r="A490" s="45" t="s">
        <v>110</v>
      </c>
      <c r="B490" s="20"/>
      <c r="C490" s="36">
        <f>SUM(C484:C489)/5</f>
        <v>4616.832</v>
      </c>
      <c r="D490" s="36">
        <f>SUM(D484:D489)/5</f>
        <v>0</v>
      </c>
      <c r="E490" s="36">
        <f>SUM(E484:E489)/5</f>
        <v>4616.832</v>
      </c>
      <c r="F490" s="36">
        <f>SUM(F484:F489)/5</f>
        <v>30088.07125642854</v>
      </c>
      <c r="H490" s="36"/>
      <c r="I490" s="36">
        <f>SUM(I484:I489)/5</f>
        <v>189.15964849865358</v>
      </c>
      <c r="J490" s="36"/>
      <c r="K490" s="36">
        <f>SUM(K484:K489)/5</f>
        <v>189.15964849865358</v>
      </c>
      <c r="L490" s="36">
        <f>SUM(L484:L489)/5</f>
        <v>13890.97154669431</v>
      </c>
      <c r="M490" s="36">
        <f>SUM(M484:M489)/5</f>
        <v>43979.04280312285</v>
      </c>
      <c r="O490" s="4">
        <f>F490/M490</f>
        <v>0.6841456598116786</v>
      </c>
      <c r="P490" s="4">
        <f>L490/M490</f>
        <v>0.31585434018832137</v>
      </c>
    </row>
    <row r="491" spans="1:16" ht="12.75">
      <c r="A491" s="45"/>
      <c r="B491" s="20"/>
      <c r="C491" s="36"/>
      <c r="D491" s="34"/>
      <c r="E491" s="36"/>
      <c r="F491" s="36"/>
      <c r="H491" s="36"/>
      <c r="I491" s="36"/>
      <c r="J491" s="36"/>
      <c r="K491" s="36"/>
      <c r="L491" s="36"/>
      <c r="M491" s="36"/>
      <c r="O491" s="8"/>
      <c r="P491" s="8"/>
    </row>
    <row r="492" spans="1:16" ht="12.75">
      <c r="A492" s="45">
        <v>1536</v>
      </c>
      <c r="B492" s="20"/>
      <c r="C492" s="34">
        <v>5383.3</v>
      </c>
      <c r="D492" s="34"/>
      <c r="E492" s="34">
        <f>C492+D492</f>
        <v>5383.3</v>
      </c>
      <c r="F492" s="34">
        <f>6.51703836232909*E492</f>
        <v>35083.17261592619</v>
      </c>
      <c r="H492" s="36">
        <f>346.563+831.817</f>
        <v>1178.38</v>
      </c>
      <c r="I492" s="34">
        <f>128.678+284.596</f>
        <v>413.274</v>
      </c>
      <c r="J492" s="34"/>
      <c r="K492" s="34">
        <f>I492+J492</f>
        <v>413.274</v>
      </c>
      <c r="L492" s="34">
        <f>346.563*27+(831.817*25.125)</f>
        <v>30256.603125</v>
      </c>
      <c r="M492" s="34">
        <f>F492+L492</f>
        <v>65339.77574092619</v>
      </c>
      <c r="O492" s="4">
        <f>F492/M492</f>
        <v>0.5369343897816825</v>
      </c>
      <c r="P492" s="4">
        <f>L492/M492</f>
        <v>0.46306561021831744</v>
      </c>
    </row>
    <row r="493" spans="1:16" ht="12.75">
      <c r="A493" s="45">
        <v>1537</v>
      </c>
      <c r="B493" s="20"/>
      <c r="C493" s="34">
        <v>6524.34</v>
      </c>
      <c r="D493" s="34"/>
      <c r="E493" s="34">
        <f>C493+D493</f>
        <v>6524.34</v>
      </c>
      <c r="F493" s="34">
        <f>6.51703836232909*E493</f>
        <v>42519.374068878176</v>
      </c>
      <c r="H493" s="36">
        <f>1011.063+31.458+400</f>
        <v>1442.521</v>
      </c>
      <c r="I493" s="34">
        <f>345.923+11.68+148.519</f>
        <v>506.122</v>
      </c>
      <c r="J493" s="34"/>
      <c r="K493" s="34">
        <f>I493+J493</f>
        <v>506.122</v>
      </c>
      <c r="L493" s="34">
        <f>(1011.063*25.125)+27*(31.458+400)</f>
        <v>37052.323875</v>
      </c>
      <c r="M493" s="34">
        <f>F493+L493</f>
        <v>79571.69794387819</v>
      </c>
      <c r="O493" s="4">
        <f>F493/M493</f>
        <v>0.5343529818713563</v>
      </c>
      <c r="P493" s="4">
        <f>L493/M493</f>
        <v>0.4656470181286437</v>
      </c>
    </row>
    <row r="494" spans="1:16" ht="12.75">
      <c r="A494" s="45">
        <v>1538</v>
      </c>
      <c r="B494" s="20"/>
      <c r="C494" s="34">
        <v>4498.05</v>
      </c>
      <c r="D494" s="34"/>
      <c r="E494" s="34">
        <f>C494+D494</f>
        <v>4498.05</v>
      </c>
      <c r="F494" s="34">
        <f>6.51703836232909*E494</f>
        <v>29313.964405674364</v>
      </c>
      <c r="H494" s="36">
        <v>1166.243</v>
      </c>
      <c r="I494" s="34">
        <f>H494*0.373241712*(22/24)</f>
        <v>399.01632276734796</v>
      </c>
      <c r="J494" s="34"/>
      <c r="K494" s="34">
        <f>I494+J494</f>
        <v>399.01632276734796</v>
      </c>
      <c r="L494" s="34">
        <f>73.43517318279*K494</f>
        <v>29301.83276518023</v>
      </c>
      <c r="M494" s="34">
        <f>F494+L494</f>
        <v>58615.797170854596</v>
      </c>
      <c r="O494" s="4">
        <f>F494/M494</f>
        <v>0.5001034843939661</v>
      </c>
      <c r="P494" s="4">
        <f>L494/M494</f>
        <v>0.4998965156060338</v>
      </c>
    </row>
    <row r="495" spans="1:16" ht="12.75">
      <c r="A495" s="45">
        <v>1539</v>
      </c>
      <c r="B495" s="20"/>
      <c r="C495" s="34">
        <v>6007.39</v>
      </c>
      <c r="D495" s="34"/>
      <c r="E495" s="34">
        <f>C495+D495</f>
        <v>6007.39</v>
      </c>
      <c r="F495" s="34">
        <f>6.51703836232909*E495</f>
        <v>39150.391087472155</v>
      </c>
      <c r="H495" s="36">
        <v>1166.243</v>
      </c>
      <c r="I495" s="34">
        <f>H495*0.373241712*(22/24)</f>
        <v>399.01632276734796</v>
      </c>
      <c r="J495" s="34"/>
      <c r="K495" s="34">
        <f>I495+J495</f>
        <v>399.01632276734796</v>
      </c>
      <c r="L495" s="34">
        <f>73.43517318279*K495</f>
        <v>29301.83276518023</v>
      </c>
      <c r="M495" s="34">
        <f>F495+L495</f>
        <v>68452.22385265239</v>
      </c>
      <c r="O495" s="4">
        <f>F495/M495</f>
        <v>0.5719374606695872</v>
      </c>
      <c r="P495" s="4">
        <f>L495/M495</f>
        <v>0.4280625393304127</v>
      </c>
    </row>
    <row r="496" spans="1:16" ht="12.75">
      <c r="A496" s="45">
        <v>1540</v>
      </c>
      <c r="B496" s="20"/>
      <c r="C496" s="34">
        <v>6007.39</v>
      </c>
      <c r="D496" s="34"/>
      <c r="E496" s="34">
        <f>C496+D496</f>
        <v>6007.39</v>
      </c>
      <c r="F496" s="34">
        <f>6.51703836232909*E496</f>
        <v>39150.391087472155</v>
      </c>
      <c r="H496" s="36">
        <f>780.683+143.404</f>
        <v>924.087</v>
      </c>
      <c r="I496" s="34">
        <f>H496*0.373241712*(22/24)</f>
        <v>316.165496090532</v>
      </c>
      <c r="J496" s="34"/>
      <c r="K496" s="34">
        <f>I496+J496</f>
        <v>316.165496090532</v>
      </c>
      <c r="L496" s="34">
        <f>73.43517318279*K496</f>
        <v>23217.667959830927</v>
      </c>
      <c r="M496" s="34">
        <f>F496+L496</f>
        <v>62368.05904730308</v>
      </c>
      <c r="O496" s="4">
        <f>F496/M496</f>
        <v>0.6277314331327599</v>
      </c>
      <c r="P496" s="4">
        <f>L496/M496</f>
        <v>0.37226856686724014</v>
      </c>
    </row>
    <row r="497" spans="1:16" ht="12.75">
      <c r="A497" s="45"/>
      <c r="B497" s="20"/>
      <c r="C497" s="36"/>
      <c r="D497" s="34"/>
      <c r="E497" s="36"/>
      <c r="F497" s="36"/>
      <c r="H497" s="20"/>
      <c r="I497" s="36"/>
      <c r="J497" s="36"/>
      <c r="K497" s="36"/>
      <c r="L497" s="36"/>
      <c r="M497" s="36"/>
      <c r="O497" s="8"/>
      <c r="P497" s="8"/>
    </row>
    <row r="498" spans="1:16" ht="12.75">
      <c r="A498" s="45" t="s">
        <v>112</v>
      </c>
      <c r="B498" s="20"/>
      <c r="C498" s="36">
        <f>SUM(C492:C497)/5</f>
        <v>5684.093999999999</v>
      </c>
      <c r="D498" s="36">
        <f>SUM(D492:D497)/5</f>
        <v>0</v>
      </c>
      <c r="E498" s="36">
        <f>SUM(E492:E497)/5</f>
        <v>5684.093999999999</v>
      </c>
      <c r="F498" s="36">
        <f>SUM(F492:F497)/5</f>
        <v>37043.458653084606</v>
      </c>
      <c r="H498" s="20"/>
      <c r="I498" s="36">
        <f>SUM(I492:I497)/5</f>
        <v>406.71882832504554</v>
      </c>
      <c r="J498" s="36"/>
      <c r="K498" s="36">
        <f>SUM(K492:K497)/5</f>
        <v>406.71882832504554</v>
      </c>
      <c r="L498" s="36">
        <f>SUM(L492:L497)/5</f>
        <v>29826.052098038275</v>
      </c>
      <c r="M498" s="36">
        <f>SUM(M492:M497)/5</f>
        <v>66869.5107511229</v>
      </c>
      <c r="O498" s="4">
        <f>F498/M498</f>
        <v>0.5539663478465416</v>
      </c>
      <c r="P498" s="4">
        <f>L498/M498</f>
        <v>0.4460336521534581</v>
      </c>
    </row>
    <row r="499" spans="1:16" ht="12.75">
      <c r="A499" s="45"/>
      <c r="B499" s="20"/>
      <c r="C499" s="36"/>
      <c r="D499" s="34"/>
      <c r="E499" s="36"/>
      <c r="F499" s="36"/>
      <c r="H499" s="20"/>
      <c r="I499" s="36"/>
      <c r="J499" s="36"/>
      <c r="K499" s="36"/>
      <c r="L499" s="36"/>
      <c r="M499" s="36"/>
      <c r="O499" s="8"/>
      <c r="P499" s="8"/>
    </row>
    <row r="500" spans="1:16" ht="12.75">
      <c r="A500" s="45">
        <v>1541</v>
      </c>
      <c r="B500" s="20"/>
      <c r="C500" s="34">
        <v>6007.39</v>
      </c>
      <c r="D500" s="34"/>
      <c r="E500" s="34">
        <f>C500+D500</f>
        <v>6007.39</v>
      </c>
      <c r="F500" s="34">
        <f>6.51703836232909*E500</f>
        <v>39150.391087472155</v>
      </c>
      <c r="H500">
        <v>461.41600000000005</v>
      </c>
      <c r="I500" s="34">
        <v>158.70802246993193</v>
      </c>
      <c r="J500" s="39"/>
      <c r="K500" s="34">
        <f>I500+J500</f>
        <v>158.70802246993193</v>
      </c>
      <c r="L500" s="34">
        <v>11647.138875</v>
      </c>
      <c r="M500" s="34">
        <f>F500+L500</f>
        <v>50797.52996247215</v>
      </c>
      <c r="O500" s="4">
        <f>F500/M500</f>
        <v>0.7707144641953144</v>
      </c>
      <c r="P500" s="4">
        <f>L500/M500</f>
        <v>0.22928553580468564</v>
      </c>
    </row>
    <row r="501" spans="1:16" ht="12.75">
      <c r="A501" s="45">
        <v>1542</v>
      </c>
      <c r="B501" s="20"/>
      <c r="C501" s="34">
        <v>5766.23</v>
      </c>
      <c r="D501" s="34"/>
      <c r="E501" s="34">
        <f>C501+D501</f>
        <v>5766.23</v>
      </c>
      <c r="F501" s="34">
        <v>39320.26</v>
      </c>
      <c r="H501">
        <v>431.09799999999996</v>
      </c>
      <c r="I501" s="34">
        <v>148.69346398645598</v>
      </c>
      <c r="J501" s="39"/>
      <c r="K501" s="34">
        <f>I501+J501</f>
        <v>148.69346398645598</v>
      </c>
      <c r="L501" s="34">
        <v>11114.518049999999</v>
      </c>
      <c r="M501" s="34">
        <f>F501+L501</f>
        <v>50434.77805</v>
      </c>
      <c r="O501" s="4">
        <f>F501/M501</f>
        <v>0.7796259152963597</v>
      </c>
      <c r="P501" s="4">
        <f>L501/M501</f>
        <v>0.2203740847036403</v>
      </c>
    </row>
    <row r="502" spans="1:16" ht="12.75">
      <c r="A502" s="45">
        <v>1543</v>
      </c>
      <c r="B502" s="20"/>
      <c r="C502" s="34">
        <v>4449.94</v>
      </c>
      <c r="D502" s="34"/>
      <c r="E502" s="34">
        <f>C502+D502</f>
        <v>4449.94</v>
      </c>
      <c r="F502" s="34">
        <v>35985.97</v>
      </c>
      <c r="H502">
        <v>584.566</v>
      </c>
      <c r="I502" s="34">
        <v>204.808893522284</v>
      </c>
      <c r="J502" s="39"/>
      <c r="K502" s="34">
        <f>I502+J502</f>
        <v>204.808893522284</v>
      </c>
      <c r="L502" s="34">
        <v>15823.0383</v>
      </c>
      <c r="M502" s="34">
        <f>F502+L502</f>
        <v>51809.0083</v>
      </c>
      <c r="O502" s="4">
        <f>F502/M502</f>
        <v>0.6945890527690336</v>
      </c>
      <c r="P502" s="4">
        <f>L502/M502</f>
        <v>0.3054109472309664</v>
      </c>
    </row>
    <row r="503" spans="1:16" ht="12.75">
      <c r="A503" s="45">
        <v>1544</v>
      </c>
      <c r="B503" s="20"/>
      <c r="C503" s="34">
        <v>9556.6</v>
      </c>
      <c r="D503" s="34"/>
      <c r="E503" s="34">
        <f>C503+D503</f>
        <v>9556.6</v>
      </c>
      <c r="F503" s="34">
        <v>80055.05</v>
      </c>
      <c r="H503" s="34">
        <v>2661.857</v>
      </c>
      <c r="I503" s="34">
        <v>949.7208145020554</v>
      </c>
      <c r="J503" s="39"/>
      <c r="K503" s="34">
        <f>I503+J503</f>
        <v>949.7208145020554</v>
      </c>
      <c r="L503" s="34">
        <v>75936.85035000001</v>
      </c>
      <c r="M503" s="34">
        <f>F503+L503</f>
        <v>155991.90035</v>
      </c>
      <c r="O503" s="4">
        <f>F503/M503</f>
        <v>0.5132000432098076</v>
      </c>
      <c r="P503" s="4">
        <f>L503/M503</f>
        <v>0.48679995679019245</v>
      </c>
    </row>
    <row r="504" spans="1:16" ht="12.75">
      <c r="A504" s="45">
        <v>1545</v>
      </c>
      <c r="B504" s="20"/>
      <c r="C504" s="34">
        <v>2755</v>
      </c>
      <c r="D504" s="34"/>
      <c r="E504" s="34">
        <f>C504+D504</f>
        <v>2755</v>
      </c>
      <c r="F504" s="34">
        <v>309369.95</v>
      </c>
      <c r="H504" s="34">
        <v>9654.264000000001</v>
      </c>
      <c r="I504" s="34">
        <v>3357.0304967433026</v>
      </c>
      <c r="J504" s="39"/>
      <c r="K504" s="34">
        <f>I504+J504</f>
        <v>3357.0304967433026</v>
      </c>
      <c r="L504" s="34">
        <v>285465.9948</v>
      </c>
      <c r="M504" s="34">
        <f>F504+L504</f>
        <v>594835.9447999999</v>
      </c>
      <c r="O504" s="4">
        <f>F504/M504</f>
        <v>0.5200928973853768</v>
      </c>
      <c r="P504" s="4">
        <f>L504/M504</f>
        <v>0.4799071026146233</v>
      </c>
    </row>
    <row r="505" spans="1:16" ht="12.75">
      <c r="A505" s="45"/>
      <c r="B505" s="20"/>
      <c r="C505" s="36"/>
      <c r="D505" s="34"/>
      <c r="E505" s="36"/>
      <c r="F505" s="36"/>
      <c r="H505" s="36"/>
      <c r="I505" s="36"/>
      <c r="J505" s="39"/>
      <c r="K505" s="36"/>
      <c r="L505" s="36"/>
      <c r="M505" s="36"/>
      <c r="O505" s="8"/>
      <c r="P505" s="8"/>
    </row>
    <row r="506" spans="1:16" ht="12.75">
      <c r="A506" s="45" t="s">
        <v>114</v>
      </c>
      <c r="B506" s="20"/>
      <c r="C506" s="36">
        <f>SUM(C500:C505)/5</f>
        <v>5707.031999999999</v>
      </c>
      <c r="D506" s="36">
        <f>SUM(D500:D505)/5</f>
        <v>0</v>
      </c>
      <c r="E506" s="36">
        <f>SUM(E500:E505)/5</f>
        <v>5707.031999999999</v>
      </c>
      <c r="F506" s="36">
        <f>SUM(F500:F505)/5</f>
        <v>100776.32421749443</v>
      </c>
      <c r="H506" s="36"/>
      <c r="I506" s="36">
        <f>SUM(I500:I505)/5</f>
        <v>963.7923382448059</v>
      </c>
      <c r="J506" s="39"/>
      <c r="K506" s="36">
        <f>SUM(K500:K505)/5</f>
        <v>963.7923382448059</v>
      </c>
      <c r="L506" s="36">
        <f>SUM(L500:L505)/5</f>
        <v>79997.50807499999</v>
      </c>
      <c r="M506" s="36">
        <f>SUM(M500:M505)/5</f>
        <v>180773.83229249442</v>
      </c>
      <c r="O506" s="4">
        <f>F506/M506</f>
        <v>0.5574718582855345</v>
      </c>
      <c r="P506" s="4">
        <f>L506/M506</f>
        <v>0.4425281417144655</v>
      </c>
    </row>
    <row r="507" spans="1:16" ht="12.75">
      <c r="A507" s="45"/>
      <c r="B507" s="20"/>
      <c r="C507" s="36"/>
      <c r="D507" s="34"/>
      <c r="E507" s="36"/>
      <c r="F507" s="36"/>
      <c r="H507" s="36"/>
      <c r="I507" s="36"/>
      <c r="J507" s="39"/>
      <c r="K507" s="36"/>
      <c r="L507" s="36"/>
      <c r="M507" s="36"/>
      <c r="O507" s="8"/>
      <c r="P507" s="8"/>
    </row>
    <row r="508" spans="1:16" ht="12.75">
      <c r="A508" s="45">
        <v>1546</v>
      </c>
      <c r="B508" s="20"/>
      <c r="C508" s="34">
        <v>28887.384</v>
      </c>
      <c r="D508" s="34"/>
      <c r="E508" s="34">
        <f>C508+D508</f>
        <v>28887.384</v>
      </c>
      <c r="F508" s="34">
        <v>446895.84</v>
      </c>
      <c r="H508" s="34">
        <v>10594.053</v>
      </c>
      <c r="I508" s="34">
        <v>3488.581948657092</v>
      </c>
      <c r="J508" s="39"/>
      <c r="K508" s="34">
        <f>I508+J508</f>
        <v>3488.581948657092</v>
      </c>
      <c r="L508" s="34">
        <v>317821.58999999997</v>
      </c>
      <c r="M508" s="34">
        <f>F508+L508</f>
        <v>764717.4299999999</v>
      </c>
      <c r="O508" s="4">
        <f>F508/M508</f>
        <v>0.5843934275174034</v>
      </c>
      <c r="P508" s="4">
        <f>L508/M508</f>
        <v>0.4156065724825966</v>
      </c>
    </row>
    <row r="509" spans="1:16" ht="12.75">
      <c r="A509" s="45">
        <v>1547</v>
      </c>
      <c r="B509" s="20"/>
      <c r="C509" s="34">
        <v>17964.476</v>
      </c>
      <c r="D509" s="34"/>
      <c r="E509" s="34">
        <f>C509+D509</f>
        <v>17964.476</v>
      </c>
      <c r="F509" s="34">
        <v>346542.8</v>
      </c>
      <c r="H509" s="34">
        <v>11588.934</v>
      </c>
      <c r="I509" s="34">
        <v>3604.5613053458396</v>
      </c>
      <c r="J509" s="39"/>
      <c r="K509" s="34">
        <f>I509+J509</f>
        <v>3604.5613053458396</v>
      </c>
      <c r="L509" s="34">
        <v>347668.01999999996</v>
      </c>
      <c r="M509" s="34">
        <f>F509+L509</f>
        <v>694210.82</v>
      </c>
      <c r="O509" s="4">
        <f>F509/M509</f>
        <v>0.49918956895543637</v>
      </c>
      <c r="P509" s="4">
        <f>L509/M509</f>
        <v>0.5008104310445637</v>
      </c>
    </row>
    <row r="510" spans="1:16" ht="12.75">
      <c r="A510" s="45">
        <v>1548</v>
      </c>
      <c r="B510" s="20"/>
      <c r="C510" s="34">
        <v>13473.3</v>
      </c>
      <c r="D510" s="34"/>
      <c r="E510" s="34">
        <f>C510+D510</f>
        <v>13473.3</v>
      </c>
      <c r="F510" s="34">
        <v>259906</v>
      </c>
      <c r="H510" s="34">
        <v>5812.5</v>
      </c>
      <c r="I510" s="34">
        <v>1807.8895425</v>
      </c>
      <c r="J510" s="39"/>
      <c r="K510" s="34">
        <f>I510+J510</f>
        <v>1807.8895425</v>
      </c>
      <c r="L510" s="34">
        <v>174375</v>
      </c>
      <c r="M510" s="34">
        <f>F510+L510</f>
        <v>434281</v>
      </c>
      <c r="O510" s="4">
        <f>F510/M510</f>
        <v>0.5984742597534776</v>
      </c>
      <c r="P510" s="4">
        <f>L510/M510</f>
        <v>0.40152574024652243</v>
      </c>
    </row>
    <row r="511" spans="1:16" ht="12.75">
      <c r="A511" s="45">
        <v>1549</v>
      </c>
      <c r="B511" s="20"/>
      <c r="C511" s="34">
        <v>30210.765</v>
      </c>
      <c r="D511" s="34"/>
      <c r="E511" s="34">
        <f>C511+D511</f>
        <v>30210.765</v>
      </c>
      <c r="F511" s="34">
        <v>582779.19</v>
      </c>
      <c r="H511" s="34">
        <v>2157.583</v>
      </c>
      <c r="I511" s="34">
        <v>709.576443723588</v>
      </c>
      <c r="J511" s="39"/>
      <c r="K511" s="34">
        <f>I511+J511</f>
        <v>709.576443723588</v>
      </c>
      <c r="L511" s="34">
        <v>69677.822</v>
      </c>
      <c r="M511" s="34">
        <f>F511+L511</f>
        <v>652457.012</v>
      </c>
      <c r="O511" s="4">
        <f>F511/M511</f>
        <v>0.8932070301667628</v>
      </c>
      <c r="P511" s="4">
        <f>L511/M511</f>
        <v>0.10679296983323708</v>
      </c>
    </row>
    <row r="512" spans="1:16" ht="12.75">
      <c r="A512" s="45">
        <v>1550</v>
      </c>
      <c r="B512" s="20"/>
      <c r="C512" s="34">
        <v>19612.73</v>
      </c>
      <c r="D512" s="34"/>
      <c r="E512" s="34">
        <f>C512+D512</f>
        <v>19612.73</v>
      </c>
      <c r="F512" s="34">
        <v>378338.35</v>
      </c>
      <c r="H512" s="34">
        <v>1022.417</v>
      </c>
      <c r="I512" s="34">
        <v>349.807948836412</v>
      </c>
      <c r="J512" s="39"/>
      <c r="K512" s="34">
        <f>I512+J512</f>
        <v>349.807948836412</v>
      </c>
      <c r="L512" s="34">
        <v>34762.178</v>
      </c>
      <c r="M512" s="34">
        <f>F512+L512</f>
        <v>413100.528</v>
      </c>
      <c r="O512" s="4">
        <f>F512/M512</f>
        <v>0.9158505602297365</v>
      </c>
      <c r="P512" s="4">
        <f>L512/M512</f>
        <v>0.08414943977026337</v>
      </c>
    </row>
    <row r="513" spans="1:16" ht="12.75">
      <c r="A513" s="45"/>
      <c r="B513" s="20"/>
      <c r="C513" s="36"/>
      <c r="D513" s="34"/>
      <c r="E513" s="36"/>
      <c r="F513" s="36"/>
      <c r="H513" s="36"/>
      <c r="I513" s="36"/>
      <c r="J513" s="39"/>
      <c r="K513" s="36"/>
      <c r="L513" s="36"/>
      <c r="M513" s="36"/>
      <c r="O513" s="8"/>
      <c r="P513" s="8"/>
    </row>
    <row r="514" spans="1:16" ht="12.75">
      <c r="A514" s="45" t="s">
        <v>119</v>
      </c>
      <c r="B514" s="20"/>
      <c r="C514" s="36">
        <f>SUM(C508:C513)/5</f>
        <v>22029.731</v>
      </c>
      <c r="D514" s="36">
        <f>SUM(D508:D513)/5</f>
        <v>0</v>
      </c>
      <c r="E514" s="36">
        <f>SUM(E508:E513)/5</f>
        <v>22029.731</v>
      </c>
      <c r="F514" s="36">
        <f>SUM(F508:F513)/5</f>
        <v>402892.43600000005</v>
      </c>
      <c r="H514" s="36"/>
      <c r="I514" s="36">
        <f>SUM(I508:I513)/5</f>
        <v>1992.0834378125867</v>
      </c>
      <c r="J514" s="39"/>
      <c r="K514" s="36">
        <f>SUM(K508:K513)/5</f>
        <v>1992.0834378125867</v>
      </c>
      <c r="L514" s="36">
        <f>SUM(L508:L513)/5</f>
        <v>188860.92199999996</v>
      </c>
      <c r="M514" s="36">
        <f>SUM(M508:M513)/5</f>
        <v>591753.358</v>
      </c>
      <c r="O514" s="4">
        <f>F514/M514</f>
        <v>0.6808452044305933</v>
      </c>
      <c r="P514" s="4">
        <f>L514/M514</f>
        <v>0.31915479556940674</v>
      </c>
    </row>
    <row r="515" spans="1:16" ht="12.75">
      <c r="A515" s="45"/>
      <c r="B515" s="20"/>
      <c r="C515" s="36"/>
      <c r="E515" s="36"/>
      <c r="F515" s="36"/>
      <c r="H515" s="36"/>
      <c r="I515" s="36"/>
      <c r="J515" s="39"/>
      <c r="K515" s="36"/>
      <c r="L515" s="36"/>
      <c r="M515" s="36"/>
      <c r="O515" s="8"/>
      <c r="P515" s="8"/>
    </row>
    <row r="516" spans="1:16" ht="12.75">
      <c r="A516" s="45">
        <v>1551</v>
      </c>
      <c r="B516" s="20"/>
      <c r="C516" s="34">
        <v>10462.166</v>
      </c>
      <c r="E516" s="34">
        <f>C516+D516</f>
        <v>10462.166</v>
      </c>
      <c r="F516" s="34">
        <v>288299.33</v>
      </c>
      <c r="H516" s="34">
        <v>96.448</v>
      </c>
      <c r="I516" s="34">
        <v>35.808282465231464</v>
      </c>
      <c r="J516" s="39"/>
      <c r="K516" s="34">
        <f>I516+J516</f>
        <v>35.808282465231464</v>
      </c>
      <c r="L516" s="34">
        <v>2777.7023999999997</v>
      </c>
      <c r="M516" s="34">
        <f>F516+L516</f>
        <v>291077.0324</v>
      </c>
      <c r="O516" s="4">
        <f>F516/M516</f>
        <v>0.9904571570724863</v>
      </c>
      <c r="P516" s="4">
        <f>L516/M516</f>
        <v>0.009542842927513643</v>
      </c>
    </row>
    <row r="517" spans="1:16" ht="12.75">
      <c r="A517" s="45">
        <v>1552</v>
      </c>
      <c r="B517" s="20"/>
      <c r="C517" s="34">
        <v>9567.14</v>
      </c>
      <c r="E517" s="34">
        <f>C517+D517</f>
        <v>9567.14</v>
      </c>
      <c r="F517" s="34">
        <v>83508.79</v>
      </c>
      <c r="H517" s="34">
        <v>218</v>
      </c>
      <c r="I517" s="34">
        <v>74.58613544800001</v>
      </c>
      <c r="J517" s="39"/>
      <c r="K517" s="34">
        <f>I517+J517</f>
        <v>74.58613544800001</v>
      </c>
      <c r="L517" s="34">
        <v>7194</v>
      </c>
      <c r="M517" s="34">
        <f>F517+L517</f>
        <v>90702.79</v>
      </c>
      <c r="O517" s="4">
        <f>F517/M517</f>
        <v>0.9206860119738324</v>
      </c>
      <c r="P517" s="4">
        <f>L517/M517</f>
        <v>0.07931398802616767</v>
      </c>
    </row>
    <row r="518" spans="1:16" ht="12.75">
      <c r="A518" s="45">
        <v>1553</v>
      </c>
      <c r="B518" s="20"/>
      <c r="C518" s="34">
        <f>(C517+C519)/2</f>
        <v>9299.708999999999</v>
      </c>
      <c r="E518" s="34">
        <f>(E517+E519)/2</f>
        <v>9299.708999999999</v>
      </c>
      <c r="F518" s="34">
        <f>(F517+F519)/2</f>
        <v>81353.64499999999</v>
      </c>
      <c r="H518" s="36"/>
      <c r="I518" s="34">
        <f>(I517+I519)/2</f>
        <v>151.08742919954585</v>
      </c>
      <c r="J518" s="34"/>
      <c r="K518" s="34">
        <f>I518+J518</f>
        <v>151.08742919954585</v>
      </c>
      <c r="L518" s="34">
        <f>(L517+L519)/2</f>
        <v>14631</v>
      </c>
      <c r="M518" s="34">
        <f>F518+L518</f>
        <v>95984.64499999999</v>
      </c>
      <c r="O518" s="4">
        <f>F518/M518</f>
        <v>0.8475693690381414</v>
      </c>
      <c r="P518" s="4">
        <f>L518/M518</f>
        <v>0.15243063096185855</v>
      </c>
    </row>
    <row r="519" spans="1:16" ht="12.75">
      <c r="A519" s="45">
        <v>1554</v>
      </c>
      <c r="B519" s="20"/>
      <c r="C519" s="34">
        <v>9032.278</v>
      </c>
      <c r="E519" s="34">
        <f>C519+D519</f>
        <v>9032.278</v>
      </c>
      <c r="F519" s="34">
        <v>79198.5</v>
      </c>
      <c r="H519" s="34">
        <v>613</v>
      </c>
      <c r="I519" s="34">
        <v>227.58872295109168</v>
      </c>
      <c r="J519" s="39"/>
      <c r="K519" s="34">
        <f>I519+J519</f>
        <v>227.58872295109168</v>
      </c>
      <c r="L519" s="34">
        <v>22068</v>
      </c>
      <c r="M519" s="34">
        <f>F519+L519</f>
        <v>101266.5</v>
      </c>
      <c r="O519" s="4">
        <f>F519/M519</f>
        <v>0.7820799573402852</v>
      </c>
      <c r="P519" s="4">
        <f>L519/M519</f>
        <v>0.2179200426597147</v>
      </c>
    </row>
    <row r="520" spans="1:16" ht="12.75">
      <c r="A520" s="45">
        <v>1555</v>
      </c>
      <c r="B520" s="20"/>
      <c r="C520" s="34">
        <v>8782.983</v>
      </c>
      <c r="E520" s="34">
        <f>C520+D520</f>
        <v>8782.983</v>
      </c>
      <c r="F520" s="34">
        <v>77012.58</v>
      </c>
      <c r="H520" s="34">
        <v>929.055</v>
      </c>
      <c r="I520" s="34">
        <v>344.9305725959649</v>
      </c>
      <c r="J520" s="39"/>
      <c r="K520" s="34">
        <f>I520+J520</f>
        <v>344.9305725959649</v>
      </c>
      <c r="L520" s="34">
        <v>33445.98</v>
      </c>
      <c r="M520" s="34">
        <f>F520+L520</f>
        <v>110458.56</v>
      </c>
      <c r="O520" s="4">
        <f>F520/M520</f>
        <v>0.6972078940735784</v>
      </c>
      <c r="P520" s="4">
        <f>L520/M520</f>
        <v>0.3027921059264217</v>
      </c>
    </row>
    <row r="521" spans="1:16" ht="12.75">
      <c r="A521" s="45"/>
      <c r="B521" s="20"/>
      <c r="C521" s="36"/>
      <c r="E521" s="36"/>
      <c r="F521" s="36"/>
      <c r="H521" s="36"/>
      <c r="I521" s="36"/>
      <c r="J521" s="39"/>
      <c r="K521" s="36"/>
      <c r="L521" s="36"/>
      <c r="M521" s="36"/>
      <c r="O521" s="8"/>
      <c r="P521" s="8"/>
    </row>
    <row r="522" spans="1:16" ht="12.75">
      <c r="A522" s="45" t="s">
        <v>126</v>
      </c>
      <c r="B522" s="20"/>
      <c r="C522" s="36">
        <f>SUM(C516:C521)/5</f>
        <v>9428.8552</v>
      </c>
      <c r="E522" s="36">
        <f>SUM(E516:E521)/5</f>
        <v>9428.8552</v>
      </c>
      <c r="F522" s="36">
        <f>SUM(F516:F521)/5</f>
        <v>121874.56899999999</v>
      </c>
      <c r="H522" s="36"/>
      <c r="I522" s="36">
        <f>SUM(I516:I521)/5</f>
        <v>166.80022853196678</v>
      </c>
      <c r="J522" s="39"/>
      <c r="K522" s="36">
        <f>SUM(K516:K521)/5</f>
        <v>166.80022853196678</v>
      </c>
      <c r="L522" s="36">
        <f>SUM(L516:L521)/5</f>
        <v>16023.336480000002</v>
      </c>
      <c r="M522" s="36">
        <f>SUM(M516:M521)/5</f>
        <v>137897.90548000002</v>
      </c>
      <c r="O522" s="4">
        <f>F522/M522</f>
        <v>0.8838029016885687</v>
      </c>
      <c r="P522" s="4">
        <f>L522/M522</f>
        <v>0.11619709831143114</v>
      </c>
    </row>
    <row r="523" spans="1:16" ht="12.75">
      <c r="A523" s="45"/>
      <c r="B523" s="20"/>
      <c r="C523" s="36"/>
      <c r="E523" s="36"/>
      <c r="F523" s="36"/>
      <c r="H523" s="36"/>
      <c r="I523" s="36"/>
      <c r="J523" s="39"/>
      <c r="K523" s="36"/>
      <c r="L523" s="36"/>
      <c r="M523" s="36"/>
      <c r="O523" s="8"/>
      <c r="P523" s="8"/>
    </row>
    <row r="524" spans="1:16" ht="12.75">
      <c r="A524" s="45">
        <v>1556</v>
      </c>
      <c r="B524" s="20"/>
      <c r="C524" s="34">
        <v>8707.304</v>
      </c>
      <c r="E524" s="34">
        <f>C524+D524</f>
        <v>8707.304</v>
      </c>
      <c r="F524" s="34">
        <v>76349.01</v>
      </c>
      <c r="H524" s="34">
        <v>1025</v>
      </c>
      <c r="I524" s="34">
        <v>380.55210607645836</v>
      </c>
      <c r="J524" s="39"/>
      <c r="K524" s="34">
        <f>I524+J524</f>
        <v>380.55210607645836</v>
      </c>
      <c r="L524" s="34">
        <v>36900</v>
      </c>
      <c r="M524" s="34">
        <f>F524+L524</f>
        <v>113249.01</v>
      </c>
      <c r="O524" s="4">
        <f>F524/M524</f>
        <v>0.6741693371094369</v>
      </c>
      <c r="P524" s="4">
        <f>L524/M524</f>
        <v>0.325830662890563</v>
      </c>
    </row>
    <row r="525" spans="1:16" ht="12.75">
      <c r="A525" s="45">
        <v>1557</v>
      </c>
      <c r="B525" s="20"/>
      <c r="C525" s="34">
        <f>(C524+332)/2</f>
        <v>4519.652</v>
      </c>
      <c r="E525" s="34">
        <f>C525+D525</f>
        <v>4519.652</v>
      </c>
      <c r="F525" s="34">
        <f>(F524+332)/2</f>
        <v>38340.505</v>
      </c>
      <c r="H525" s="36"/>
      <c r="I525" s="34">
        <f>(I524+332)/2</f>
        <v>356.2760530382292</v>
      </c>
      <c r="J525" s="34"/>
      <c r="K525" s="34">
        <f>I525+J525</f>
        <v>356.2760530382292</v>
      </c>
      <c r="L525" s="34">
        <f>(L524+L526)/2</f>
        <v>30004.120799999997</v>
      </c>
      <c r="M525" s="34">
        <f>F525+L525</f>
        <v>68344.6258</v>
      </c>
      <c r="O525" s="4">
        <f>F525/M525</f>
        <v>0.5609878545856345</v>
      </c>
      <c r="P525" s="4">
        <f>L525/M525</f>
        <v>0.43901214541436556</v>
      </c>
    </row>
    <row r="526" spans="1:16" ht="12.75">
      <c r="A526" s="45">
        <v>1558</v>
      </c>
      <c r="B526" s="20"/>
      <c r="C526" s="34">
        <f>(C525+C527)/2</f>
        <v>3388.9945</v>
      </c>
      <c r="E526" s="34">
        <f>C526+D526</f>
        <v>3388.9945</v>
      </c>
      <c r="F526" s="34">
        <f>(F525+F527)/2</f>
        <v>29071.2375</v>
      </c>
      <c r="H526" s="36"/>
      <c r="I526" s="34">
        <f>(I525+I527)/2</f>
        <v>261.7713859632938</v>
      </c>
      <c r="J526" s="34"/>
      <c r="K526" s="34">
        <f>I526+J526</f>
        <v>261.7713859632938</v>
      </c>
      <c r="L526" s="34">
        <f>(L525+L527)/2</f>
        <v>23108.241599999998</v>
      </c>
      <c r="M526" s="34">
        <f>F526+L526</f>
        <v>52179.4791</v>
      </c>
      <c r="O526" s="4">
        <f>F526/M526</f>
        <v>0.557139281599306</v>
      </c>
      <c r="P526" s="4">
        <f>L526/M526</f>
        <v>0.442860718400694</v>
      </c>
    </row>
    <row r="527" spans="1:16" ht="12.75">
      <c r="A527" s="45">
        <v>1559</v>
      </c>
      <c r="B527" s="20"/>
      <c r="C527" s="34">
        <v>2258.337</v>
      </c>
      <c r="E527" s="34">
        <f>C527+D527</f>
        <v>2258.337</v>
      </c>
      <c r="F527" s="34">
        <v>19801.97</v>
      </c>
      <c r="H527" s="34">
        <v>453.4593</v>
      </c>
      <c r="I527" s="34">
        <v>167.26671888835847</v>
      </c>
      <c r="J527" s="39"/>
      <c r="K527" s="34">
        <f>I527+J527</f>
        <v>167.26671888835847</v>
      </c>
      <c r="L527" s="34">
        <v>16212.362399999998</v>
      </c>
      <c r="M527" s="34">
        <f>F527+L527</f>
        <v>36014.3324</v>
      </c>
      <c r="O527" s="4">
        <f>F527/M527</f>
        <v>0.5498358203635617</v>
      </c>
      <c r="P527" s="4">
        <f>L527/M527</f>
        <v>0.45016417963643823</v>
      </c>
    </row>
    <row r="528" spans="1:16" ht="12.75">
      <c r="A528" s="45">
        <v>1560</v>
      </c>
      <c r="B528" s="20"/>
      <c r="C528" s="34">
        <v>1888.1</v>
      </c>
      <c r="E528" s="34">
        <f>C528+D528</f>
        <v>1888.1</v>
      </c>
      <c r="F528" s="34">
        <v>16555.59</v>
      </c>
      <c r="H528" s="34">
        <v>379.122</v>
      </c>
      <c r="I528" s="34">
        <v>139.84605770960857</v>
      </c>
      <c r="J528" s="39"/>
      <c r="K528" s="34">
        <f>I528+J528</f>
        <v>139.84605770960857</v>
      </c>
      <c r="L528" s="34">
        <v>13554.608999999999</v>
      </c>
      <c r="M528" s="34">
        <f>F528+L528</f>
        <v>30110.199</v>
      </c>
      <c r="O528" s="4">
        <f>F528/M528</f>
        <v>0.5498332973488484</v>
      </c>
      <c r="P528" s="4">
        <f>L528/M528</f>
        <v>0.4501667026511515</v>
      </c>
    </row>
    <row r="529" spans="1:16" ht="12.75">
      <c r="A529" s="45"/>
      <c r="B529" s="20"/>
      <c r="C529" s="36"/>
      <c r="E529" s="36"/>
      <c r="F529" s="36"/>
      <c r="H529" s="36"/>
      <c r="I529" s="36"/>
      <c r="J529" s="39"/>
      <c r="K529" s="36"/>
      <c r="L529" s="36"/>
      <c r="M529" s="36"/>
      <c r="O529" s="8"/>
      <c r="P529" s="8"/>
    </row>
    <row r="530" spans="1:16" ht="12.75">
      <c r="A530" s="45" t="s">
        <v>131</v>
      </c>
      <c r="B530" s="20"/>
      <c r="C530" s="36">
        <f>SUM(C524:C529)/5</f>
        <v>4152.477499999999</v>
      </c>
      <c r="E530" s="36">
        <f>SUM(E524:E529)/5</f>
        <v>4152.477499999999</v>
      </c>
      <c r="F530" s="36">
        <f>SUM(F524:F529)/5</f>
        <v>36023.66249999999</v>
      </c>
      <c r="H530" s="36"/>
      <c r="I530" s="36">
        <f>SUM(I524:I529)/5</f>
        <v>261.1424643351897</v>
      </c>
      <c r="J530" s="39"/>
      <c r="K530" s="36">
        <f>SUM(K524:K529)/5</f>
        <v>261.1424643351897</v>
      </c>
      <c r="L530" s="36">
        <f>SUM(L524:L529)/5</f>
        <v>23955.866759999997</v>
      </c>
      <c r="M530" s="36">
        <f>SUM(M524:M529)/5</f>
        <v>59979.52926</v>
      </c>
      <c r="O530" s="4">
        <f>F530/M530</f>
        <v>0.6005992868640928</v>
      </c>
      <c r="P530" s="4">
        <f>L530/M530</f>
        <v>0.3994007131359069</v>
      </c>
    </row>
    <row r="531" spans="1:16" ht="12.75">
      <c r="A531" s="45"/>
      <c r="B531" s="20"/>
      <c r="C531" s="36"/>
      <c r="E531" s="36"/>
      <c r="F531" s="36"/>
      <c r="H531" s="36"/>
      <c r="I531" s="36"/>
      <c r="J531" s="39"/>
      <c r="K531" s="36"/>
      <c r="L531" s="36"/>
      <c r="M531" s="36"/>
      <c r="O531" s="8"/>
      <c r="P531" s="8"/>
    </row>
    <row r="532" spans="1:16" ht="12.75">
      <c r="A532" s="45">
        <v>1561</v>
      </c>
      <c r="B532" s="20"/>
      <c r="C532" s="34">
        <v>81437.882</v>
      </c>
      <c r="E532" s="34">
        <f>C532+D532</f>
        <v>81437.882</v>
      </c>
      <c r="F532" s="34">
        <v>707845.48</v>
      </c>
      <c r="H532" s="34">
        <v>266.746</v>
      </c>
      <c r="I532" s="34">
        <v>95.99153580458429</v>
      </c>
      <c r="J532" s="39"/>
      <c r="K532" s="34">
        <f>I532+J532</f>
        <v>95.99153580458429</v>
      </c>
      <c r="L532" s="34">
        <v>9289.455</v>
      </c>
      <c r="M532" s="34">
        <f>F532+L532</f>
        <v>717134.9349999999</v>
      </c>
      <c r="O532" s="4">
        <f>F532/M532</f>
        <v>0.9870464335976047</v>
      </c>
      <c r="P532" s="4">
        <f>L532/M532</f>
        <v>0.01295356640239539</v>
      </c>
    </row>
    <row r="533" spans="1:16" ht="12.75">
      <c r="A533" s="45">
        <v>1562</v>
      </c>
      <c r="B533" s="20"/>
      <c r="C533" s="34">
        <v>25374.949</v>
      </c>
      <c r="E533" s="34">
        <f>C533+D533</f>
        <v>25374.949</v>
      </c>
      <c r="F533" s="34">
        <f>8.68938448310545*E533</f>
        <v>220492.68810019214</v>
      </c>
      <c r="H533" s="34">
        <v>2122.708</v>
      </c>
      <c r="I533" s="34">
        <v>727.2654733373308</v>
      </c>
      <c r="J533" s="39"/>
      <c r="K533" s="34">
        <f>I533+J533</f>
        <v>727.2654733373308</v>
      </c>
      <c r="L533" s="34">
        <v>70152.951</v>
      </c>
      <c r="M533" s="34">
        <f>F533+L533</f>
        <v>290645.6391001921</v>
      </c>
      <c r="O533" s="4">
        <f>F533/M533</f>
        <v>0.7586306430841832</v>
      </c>
      <c r="P533" s="4">
        <f>L533/M533</f>
        <v>0.24136935691581698</v>
      </c>
    </row>
    <row r="534" spans="1:16" ht="12.75">
      <c r="A534" s="45">
        <v>1563</v>
      </c>
      <c r="B534" s="20"/>
      <c r="C534" s="34">
        <v>6584.905</v>
      </c>
      <c r="E534" s="34">
        <f>C534+D534</f>
        <v>6584.905</v>
      </c>
      <c r="F534" s="34">
        <f>8.68938448310545*E534</f>
        <v>57218.77132972349</v>
      </c>
      <c r="H534" s="34">
        <v>517.4530000000001</v>
      </c>
      <c r="I534" s="34">
        <v>177.0891363910435</v>
      </c>
      <c r="J534" s="39"/>
      <c r="K534" s="34">
        <f>I534+J534</f>
        <v>177.0891363910435</v>
      </c>
      <c r="L534" s="34">
        <v>17080.962</v>
      </c>
      <c r="M534" s="34">
        <f>F534+L534</f>
        <v>74299.73332972349</v>
      </c>
      <c r="O534" s="4">
        <f>F534/M534</f>
        <v>0.7701073579335878</v>
      </c>
      <c r="P534" s="4">
        <f>L534/M534</f>
        <v>0.22989264206641222</v>
      </c>
    </row>
    <row r="535" spans="1:16" ht="12.75">
      <c r="A535" s="45">
        <v>1564</v>
      </c>
      <c r="B535" s="20"/>
      <c r="C535" s="34">
        <v>4123.182</v>
      </c>
      <c r="E535" s="34">
        <f>C535+D535</f>
        <v>4123.182</v>
      </c>
      <c r="F535" s="34">
        <f>8.68938448310545*E535</f>
        <v>35827.91369181969</v>
      </c>
      <c r="H535" s="36">
        <v>424.282</v>
      </c>
      <c r="I535" s="34">
        <f>H535*0.373241712*(22/24)</f>
        <v>145.16309504655197</v>
      </c>
      <c r="J535" s="34"/>
      <c r="K535" s="34">
        <f>I535+J535</f>
        <v>145.16309504655197</v>
      </c>
      <c r="L535" s="34">
        <f>96.4521677624705*K535</f>
        <v>14001.29519634948</v>
      </c>
      <c r="M535" s="34">
        <f>F535+L535</f>
        <v>49829.20888816917</v>
      </c>
      <c r="O535" s="4">
        <f>F535/M535</f>
        <v>0.7190142988669087</v>
      </c>
      <c r="P535" s="4">
        <f>L535/M535</f>
        <v>0.28098570113309135</v>
      </c>
    </row>
    <row r="536" spans="1:16" ht="12.75">
      <c r="A536" s="45">
        <v>1565</v>
      </c>
      <c r="B536" s="20"/>
      <c r="C536" s="34">
        <v>3795.595</v>
      </c>
      <c r="E536" s="34">
        <f>C536+D536</f>
        <v>3795.595</v>
      </c>
      <c r="F536" s="34">
        <f>8.68938448310545*E536</f>
        <v>32981.384297152625</v>
      </c>
      <c r="H536" s="36">
        <v>390.573</v>
      </c>
      <c r="I536" s="34">
        <f>H536*0.373241712*(22/24)</f>
        <v>133.629957249228</v>
      </c>
      <c r="J536" s="34"/>
      <c r="K536" s="34">
        <f>I536+J536</f>
        <v>133.629957249228</v>
      </c>
      <c r="L536" s="34">
        <f>96.4521677624705*K536</f>
        <v>12888.899054694299</v>
      </c>
      <c r="M536" s="34">
        <f>F536+L536</f>
        <v>45870.28335184693</v>
      </c>
      <c r="O536" s="4">
        <f>F536/M536</f>
        <v>0.7190141827590141</v>
      </c>
      <c r="P536" s="4">
        <f>L536/M536</f>
        <v>0.2809858172409859</v>
      </c>
    </row>
    <row r="537" spans="1:16" ht="12.75">
      <c r="A537" s="45"/>
      <c r="B537" s="20"/>
      <c r="C537" s="36"/>
      <c r="E537" s="36"/>
      <c r="F537" s="36"/>
      <c r="H537" s="36"/>
      <c r="I537" s="36"/>
      <c r="J537" s="36"/>
      <c r="K537" s="36"/>
      <c r="L537" s="36"/>
      <c r="M537" s="36"/>
      <c r="O537" s="8"/>
      <c r="P537" s="8"/>
    </row>
    <row r="538" spans="1:16" ht="12.75">
      <c r="A538" s="45" t="s">
        <v>136</v>
      </c>
      <c r="B538" s="20"/>
      <c r="C538" s="36">
        <f>SUM(C532:C537)/5</f>
        <v>24263.302600000003</v>
      </c>
      <c r="E538" s="36">
        <f>SUM(E532:E537)/5</f>
        <v>24263.302600000003</v>
      </c>
      <c r="F538" s="36">
        <f>SUM(F532:F537)/5</f>
        <v>210873.24748377758</v>
      </c>
      <c r="H538" s="36"/>
      <c r="I538" s="36">
        <f>SUM(I532:I537)/5</f>
        <v>255.82783956574772</v>
      </c>
      <c r="J538" s="36"/>
      <c r="K538" s="36">
        <f>SUM(K532:K537)/5</f>
        <v>255.82783956574772</v>
      </c>
      <c r="L538" s="36">
        <f>SUM(L532:L537)/5</f>
        <v>24682.712450208757</v>
      </c>
      <c r="M538" s="36">
        <f>SUM(M532:M537)/5</f>
        <v>235555.95993398633</v>
      </c>
      <c r="O538" s="4">
        <f>F538/M538</f>
        <v>0.895215079859894</v>
      </c>
      <c r="P538" s="4">
        <f>L538/M538</f>
        <v>0.10478492014010596</v>
      </c>
    </row>
    <row r="539" spans="1:16" ht="12.75">
      <c r="A539" s="45"/>
      <c r="B539" s="20"/>
      <c r="C539" s="36"/>
      <c r="E539" s="36"/>
      <c r="F539" s="36"/>
      <c r="H539" s="36"/>
      <c r="I539" s="36"/>
      <c r="J539" s="36"/>
      <c r="K539" s="36"/>
      <c r="L539" s="36"/>
      <c r="M539" s="36"/>
      <c r="O539" s="8"/>
      <c r="P539" s="8"/>
    </row>
    <row r="540" spans="1:16" ht="12.75">
      <c r="A540" s="45">
        <v>1566</v>
      </c>
      <c r="B540" s="20"/>
      <c r="C540" s="34">
        <v>8769.921</v>
      </c>
      <c r="E540" s="34">
        <f>C540+D540</f>
        <v>8769.921</v>
      </c>
      <c r="F540" s="34">
        <f>8.68938448310545*E540</f>
        <v>76205.21545546062</v>
      </c>
      <c r="H540" s="36">
        <f>988.917+256.546</f>
        <v>1245.463</v>
      </c>
      <c r="I540" s="34">
        <f>H540*0.373241712*(22/24)</f>
        <v>426.12051382326797</v>
      </c>
      <c r="J540" s="34"/>
      <c r="K540" s="34">
        <f>I540+J540</f>
        <v>426.12051382326797</v>
      </c>
      <c r="L540" s="34">
        <f>96.4521677624705*K540</f>
        <v>41100.24728631197</v>
      </c>
      <c r="M540" s="34">
        <f>F540+L540</f>
        <v>117305.46274177259</v>
      </c>
      <c r="O540" s="4">
        <f>F540/M540</f>
        <v>0.649630577079032</v>
      </c>
      <c r="P540" s="4">
        <f>L540/M540</f>
        <v>0.35036942292096795</v>
      </c>
    </row>
    <row r="541" spans="1:16" ht="12.75">
      <c r="A541" s="45">
        <v>1567</v>
      </c>
      <c r="B541" s="20"/>
      <c r="C541" s="34">
        <v>12009.185</v>
      </c>
      <c r="E541" s="34">
        <f>C541+D541</f>
        <v>12009.185</v>
      </c>
      <c r="F541" s="34">
        <f>8.68938448310545*E541</f>
        <v>104352.42579374272</v>
      </c>
      <c r="H541" s="34">
        <v>579.79</v>
      </c>
      <c r="I541" s="34">
        <v>199.2262393988132</v>
      </c>
      <c r="J541" s="39"/>
      <c r="K541" s="34">
        <f>I541+J541</f>
        <v>199.2262393988132</v>
      </c>
      <c r="L541" s="34">
        <v>19221.417</v>
      </c>
      <c r="M541" s="34">
        <f>F541+L541</f>
        <v>123573.84279374272</v>
      </c>
      <c r="O541" s="4">
        <f>F541/M541</f>
        <v>0.8444539996050581</v>
      </c>
      <c r="P541" s="4">
        <f>L541/M541</f>
        <v>0.15554600039494196</v>
      </c>
    </row>
    <row r="542" spans="1:16" ht="12.75">
      <c r="A542" s="45">
        <v>1568</v>
      </c>
      <c r="B542" s="20"/>
      <c r="C542" s="34">
        <v>11703.67</v>
      </c>
      <c r="E542" s="34">
        <f>C542+D542</f>
        <v>11703.67</v>
      </c>
      <c r="F542" s="34">
        <f>8.68938448310545*E542</f>
        <v>101697.68849338675</v>
      </c>
      <c r="H542" s="34">
        <v>653.469</v>
      </c>
      <c r="I542" s="34">
        <v>227.0178159382677</v>
      </c>
      <c r="J542" s="39"/>
      <c r="K542" s="34">
        <f>I542+J542</f>
        <v>227.0178159382677</v>
      </c>
      <c r="L542" s="34">
        <v>21918.837</v>
      </c>
      <c r="M542" s="34">
        <f>F542+L542</f>
        <v>123616.52549338675</v>
      </c>
      <c r="O542" s="4">
        <f>F542/M542</f>
        <v>0.8226868380864448</v>
      </c>
      <c r="P542" s="4">
        <f>L542/M542</f>
        <v>0.17731316191355512</v>
      </c>
    </row>
    <row r="543" spans="1:16" ht="12.75">
      <c r="A543" s="45">
        <v>1569</v>
      </c>
      <c r="B543" s="20"/>
      <c r="C543" s="34">
        <v>12764.065</v>
      </c>
      <c r="E543" s="34">
        <f>C543+D543</f>
        <v>12764.065</v>
      </c>
      <c r="F543" s="34">
        <f>8.68938448310545*E543</f>
        <v>110911.86835234937</v>
      </c>
      <c r="H543" s="34">
        <v>606.1320000000001</v>
      </c>
      <c r="I543" s="34">
        <v>212.8132854706903</v>
      </c>
      <c r="J543" s="39"/>
      <c r="K543" s="34">
        <f>I543+J543</f>
        <v>212.8132854706903</v>
      </c>
      <c r="L543" s="34">
        <v>20561.775</v>
      </c>
      <c r="M543" s="34">
        <f>F543+L543</f>
        <v>131473.64335234938</v>
      </c>
      <c r="O543" s="4">
        <f>F543/M543</f>
        <v>0.8436053457125665</v>
      </c>
      <c r="P543" s="4">
        <f>L543/M543</f>
        <v>0.15639465428743343</v>
      </c>
    </row>
    <row r="544" spans="1:16" ht="12.75">
      <c r="A544" s="45">
        <v>1570</v>
      </c>
      <c r="B544" s="20"/>
      <c r="C544" s="34">
        <v>10240.318</v>
      </c>
      <c r="E544" s="34">
        <f>C544+D544</f>
        <v>10240.318</v>
      </c>
      <c r="F544" s="34">
        <f>8.68938448310545*E544</f>
        <v>88982.06033126543</v>
      </c>
      <c r="H544" s="36">
        <f>107.25+230.696</f>
        <v>337.946</v>
      </c>
      <c r="I544" s="34">
        <f>H544*0.373241712*(22/24)</f>
        <v>115.62424830325601</v>
      </c>
      <c r="J544" s="34"/>
      <c r="K544" s="34">
        <f>I544+J544</f>
        <v>115.62424830325601</v>
      </c>
      <c r="L544" s="34">
        <f>96.4521677624705*K544</f>
        <v>11152.209394755193</v>
      </c>
      <c r="M544" s="34">
        <f>F544+L544</f>
        <v>100134.26972602062</v>
      </c>
      <c r="O544" s="4">
        <f>F544/M544</f>
        <v>0.888627445676001</v>
      </c>
      <c r="P544" s="4">
        <f>L544/M544</f>
        <v>0.11137255432399894</v>
      </c>
    </row>
    <row r="545" spans="1:16" ht="12.75">
      <c r="A545" s="45"/>
      <c r="B545" s="20"/>
      <c r="C545" s="36"/>
      <c r="E545" s="36"/>
      <c r="F545" s="36"/>
      <c r="H545" s="36"/>
      <c r="I545" s="36"/>
      <c r="J545" s="36"/>
      <c r="K545" s="36"/>
      <c r="L545" s="36"/>
      <c r="M545" s="36"/>
      <c r="O545" s="8"/>
      <c r="P545" s="8"/>
    </row>
    <row r="546" spans="1:16" ht="12.75">
      <c r="A546" s="45" t="s">
        <v>137</v>
      </c>
      <c r="B546" s="20"/>
      <c r="C546" s="36">
        <f>SUM(C540:C545)/5</f>
        <v>11097.4318</v>
      </c>
      <c r="E546" s="36">
        <f>SUM(E540:E545)/5</f>
        <v>11097.4318</v>
      </c>
      <c r="F546" s="36">
        <f>SUM(F540:F545)/5</f>
        <v>96429.85168524098</v>
      </c>
      <c r="H546" s="36"/>
      <c r="I546" s="36">
        <f>SUM(I540:I545)/5</f>
        <v>236.16042058685903</v>
      </c>
      <c r="J546" s="36"/>
      <c r="K546" s="36">
        <f>SUM(K540:K545)/5</f>
        <v>236.16042058685903</v>
      </c>
      <c r="L546" s="36">
        <f>SUM(L540:L545)/5</f>
        <v>22790.897136213433</v>
      </c>
      <c r="M546" s="36">
        <f>SUM(M540:M545)/5</f>
        <v>119220.74882145443</v>
      </c>
      <c r="O546" s="4">
        <f>F546/M546</f>
        <v>0.808834474187499</v>
      </c>
      <c r="P546" s="4">
        <f>L546/M546</f>
        <v>0.1911655258125009</v>
      </c>
    </row>
    <row r="547" spans="1:16" ht="12.75">
      <c r="A547" s="45"/>
      <c r="B547" s="20"/>
      <c r="C547" s="36"/>
      <c r="E547" s="36"/>
      <c r="F547" s="36"/>
      <c r="H547" s="36"/>
      <c r="I547" s="36"/>
      <c r="J547" s="36"/>
      <c r="K547" s="36"/>
      <c r="L547" s="36"/>
      <c r="M547" s="36"/>
      <c r="O547" s="8"/>
      <c r="P547" s="8"/>
    </row>
    <row r="548" spans="1:16" ht="12.75">
      <c r="A548" s="45">
        <v>1571</v>
      </c>
      <c r="B548" s="20"/>
      <c r="C548" s="34">
        <v>7696.356</v>
      </c>
      <c r="E548" s="34">
        <f>C548+D548</f>
        <v>7696.356</v>
      </c>
      <c r="F548" s="34">
        <f>8.68938448310545*E548</f>
        <v>66876.59640285552</v>
      </c>
      <c r="H548" s="36">
        <v>395.324</v>
      </c>
      <c r="I548" s="34">
        <f>H548*0.373241712*(22/24)</f>
        <v>135.255456008464</v>
      </c>
      <c r="J548" s="34"/>
      <c r="K548" s="34">
        <f>I548+J548</f>
        <v>135.255456008464</v>
      </c>
      <c r="L548" s="34">
        <f>96.4521677624705*K548</f>
        <v>13045.681933717817</v>
      </c>
      <c r="M548" s="34">
        <f>F548+L548</f>
        <v>79922.27833657333</v>
      </c>
      <c r="O548" s="4">
        <f>F548/M548</f>
        <v>0.8367703948731405</v>
      </c>
      <c r="P548" s="4">
        <f>L548/M548</f>
        <v>0.16322960512685944</v>
      </c>
    </row>
    <row r="549" spans="1:16" ht="12.75">
      <c r="A549" s="45">
        <v>1572</v>
      </c>
      <c r="B549" s="20"/>
      <c r="C549" s="34">
        <v>7232.253</v>
      </c>
      <c r="E549" s="34">
        <f>C549+D549</f>
        <v>7232.253</v>
      </c>
      <c r="F549" s="34">
        <f>8.68938448310545*E549</f>
        <v>62843.82699609283</v>
      </c>
      <c r="H549" s="34">
        <v>253.365</v>
      </c>
      <c r="I549" s="34">
        <v>91.6373808731588</v>
      </c>
      <c r="J549" s="39"/>
      <c r="K549" s="34">
        <f>I549+J549</f>
        <v>91.6373808731588</v>
      </c>
      <c r="L549" s="34">
        <v>8870.949</v>
      </c>
      <c r="M549" s="34">
        <f>F549+L549</f>
        <v>71714.77599609282</v>
      </c>
      <c r="O549" s="4">
        <f>F549/M549</f>
        <v>0.8763023536393211</v>
      </c>
      <c r="P549" s="4">
        <f>L549/M549</f>
        <v>0.123697646360679</v>
      </c>
    </row>
    <row r="550" spans="1:16" ht="12.75">
      <c r="A550" s="45">
        <v>1573</v>
      </c>
      <c r="B550" s="20"/>
      <c r="C550" s="34">
        <v>12528.565</v>
      </c>
      <c r="E550" s="34">
        <f>C550+D550</f>
        <v>12528.565</v>
      </c>
      <c r="F550" s="34">
        <f>8.68938448310545*E550</f>
        <v>108865.51830657803</v>
      </c>
      <c r="H550" s="36">
        <v>380.603</v>
      </c>
      <c r="I550" s="34">
        <f>H550*0.373241712*(23.875/24)</f>
        <v>141.31703554508425</v>
      </c>
      <c r="J550" s="34"/>
      <c r="K550" s="34">
        <f>I550+J550</f>
        <v>141.31703554508425</v>
      </c>
      <c r="L550" s="34">
        <f>96.9571529340017*K550</f>
        <v>13701.697427524488</v>
      </c>
      <c r="M550" s="34">
        <f>F550+L550</f>
        <v>122567.21573410252</v>
      </c>
      <c r="O550" s="4">
        <f>F550/M550</f>
        <v>0.8882107475032396</v>
      </c>
      <c r="P550" s="4">
        <f>L550/M550</f>
        <v>0.11178925249676039</v>
      </c>
    </row>
    <row r="551" spans="1:16" ht="12.75">
      <c r="A551" s="45">
        <v>1574</v>
      </c>
      <c r="B551" s="20"/>
      <c r="C551" s="34">
        <v>10450.64</v>
      </c>
      <c r="E551" s="34">
        <f>C551+D551</f>
        <v>10450.64</v>
      </c>
      <c r="F551" s="34">
        <f>8.68938448310545*E551</f>
        <v>90809.62905452112</v>
      </c>
      <c r="H551" s="36">
        <v>292.55</v>
      </c>
      <c r="I551" s="34">
        <f>H551*0.373241712*(23.875/24)</f>
        <v>108.6231552266125</v>
      </c>
      <c r="J551" s="34"/>
      <c r="K551" s="34">
        <f>I551+J551</f>
        <v>108.6231552266125</v>
      </c>
      <c r="L551" s="34">
        <f>96.9571529340017*K551</f>
        <v>10531.791873480473</v>
      </c>
      <c r="M551" s="34">
        <f>F551+L551</f>
        <v>101341.4209280016</v>
      </c>
      <c r="O551" s="4">
        <f>F551/M551</f>
        <v>0.8960761377032317</v>
      </c>
      <c r="P551" s="4">
        <f>L551/M551</f>
        <v>0.10392386229676832</v>
      </c>
    </row>
    <row r="552" spans="1:16" ht="12.75">
      <c r="A552" s="45">
        <v>1575</v>
      </c>
      <c r="B552" s="20"/>
      <c r="C552" s="34">
        <v>6123.017</v>
      </c>
      <c r="E552" s="34">
        <f>C552+D552</f>
        <v>6123.017</v>
      </c>
      <c r="F552" s="34">
        <f>8.68938448310545*E552</f>
        <v>53205.248909590875</v>
      </c>
      <c r="H552" s="36">
        <v>97.854</v>
      </c>
      <c r="I552" s="34">
        <f>H552*0.373241712*(23.875/24)</f>
        <v>36.332969514766496</v>
      </c>
      <c r="J552" s="34"/>
      <c r="K552" s="34">
        <f>I552+J552</f>
        <v>36.332969514766496</v>
      </c>
      <c r="L552" s="34">
        <f>96.9571529340017*K552</f>
        <v>3522.7412817896366</v>
      </c>
      <c r="M552" s="34">
        <f>F552+L552</f>
        <v>56727.99019138051</v>
      </c>
      <c r="O552" s="4">
        <f>F552/M552</f>
        <v>0.9379011794723358</v>
      </c>
      <c r="P552" s="4">
        <f>L552/M552</f>
        <v>0.06209882052766426</v>
      </c>
    </row>
    <row r="553" spans="1:16" ht="12.75">
      <c r="A553" s="45"/>
      <c r="B553" s="20"/>
      <c r="C553" s="36"/>
      <c r="E553" s="36"/>
      <c r="F553" s="36"/>
      <c r="H553" s="36"/>
      <c r="I553" s="36"/>
      <c r="J553" s="36"/>
      <c r="K553" s="36"/>
      <c r="L553" s="36"/>
      <c r="M553" s="36"/>
      <c r="O553" s="8"/>
      <c r="P553" s="8"/>
    </row>
    <row r="554" spans="1:16" ht="12.75">
      <c r="A554" s="45" t="s">
        <v>139</v>
      </c>
      <c r="B554" s="20"/>
      <c r="C554" s="36">
        <f>SUM(C548:C553)/5</f>
        <v>8806.1662</v>
      </c>
      <c r="E554" s="36">
        <f>SUM(E548:E553)/5</f>
        <v>8806.1662</v>
      </c>
      <c r="F554" s="36">
        <f>SUM(F548:F553)/5</f>
        <v>76520.16393392769</v>
      </c>
      <c r="H554" s="36"/>
      <c r="I554" s="36">
        <f>SUM(I548:I553)/5</f>
        <v>102.63319943361721</v>
      </c>
      <c r="J554" s="36"/>
      <c r="K554" s="36">
        <f>SUM(K548:K553)/5</f>
        <v>102.63319943361721</v>
      </c>
      <c r="L554" s="36">
        <f>SUM(L548:L553)/5</f>
        <v>9934.572303302484</v>
      </c>
      <c r="M554" s="36">
        <f>SUM(M548:M553)/5</f>
        <v>86454.73623723016</v>
      </c>
      <c r="O554" s="4">
        <f>F554/M554</f>
        <v>0.8850893226249377</v>
      </c>
      <c r="P554" s="4">
        <f>L554/M554</f>
        <v>0.11491067737506255</v>
      </c>
    </row>
    <row r="555" spans="1:16" ht="12.75">
      <c r="A555" s="45"/>
      <c r="B555" s="20"/>
      <c r="C555" s="36"/>
      <c r="E555" s="36"/>
      <c r="F555" s="36"/>
      <c r="H555" s="36"/>
      <c r="I555" s="36"/>
      <c r="J555" s="36"/>
      <c r="K555" s="36"/>
      <c r="L555" s="36"/>
      <c r="M555" s="36"/>
      <c r="O555" s="8"/>
      <c r="P555" s="8"/>
    </row>
    <row r="556" spans="1:16" ht="12.75">
      <c r="A556" s="45">
        <v>1576</v>
      </c>
      <c r="B556" s="20"/>
      <c r="C556" s="34">
        <v>6123.017</v>
      </c>
      <c r="E556" s="34">
        <f>C556+D556</f>
        <v>6123.017</v>
      </c>
      <c r="F556" s="34">
        <f>8.68938448310545*E556</f>
        <v>53205.248909590875</v>
      </c>
      <c r="H556" s="36">
        <v>97.854</v>
      </c>
      <c r="I556" s="34">
        <f>H556*0.373241712*(23.875/24)</f>
        <v>36.332969514766496</v>
      </c>
      <c r="J556" s="34"/>
      <c r="K556" s="34">
        <f>I556+J556</f>
        <v>36.332969514766496</v>
      </c>
      <c r="L556" s="34">
        <f>96.9571529340017*K556</f>
        <v>3522.7412817896366</v>
      </c>
      <c r="M556" s="34">
        <f>F556+L556</f>
        <v>56727.99019138051</v>
      </c>
      <c r="O556" s="4">
        <f>F556/M556</f>
        <v>0.9379011794723358</v>
      </c>
      <c r="P556" s="4">
        <f>L556/M556</f>
        <v>0.06209882052766426</v>
      </c>
    </row>
    <row r="557" spans="1:16" ht="12.75">
      <c r="A557" s="45">
        <v>1577</v>
      </c>
      <c r="B557" s="20"/>
      <c r="C557" s="34">
        <v>6123.017</v>
      </c>
      <c r="E557" s="34">
        <f>C557+D557</f>
        <v>6123.017</v>
      </c>
      <c r="F557" s="34">
        <f>8.68938448310545*E557</f>
        <v>53205.248909590875</v>
      </c>
      <c r="H557" s="36">
        <v>97.854</v>
      </c>
      <c r="I557" s="34">
        <f>H557*0.373241712*(23.875/24)</f>
        <v>36.332969514766496</v>
      </c>
      <c r="J557" s="34"/>
      <c r="K557" s="34">
        <f>I557+J557</f>
        <v>36.332969514766496</v>
      </c>
      <c r="L557" s="34">
        <f>96.9571529340017*K557</f>
        <v>3522.7412817896366</v>
      </c>
      <c r="M557" s="34">
        <f>F557+L557</f>
        <v>56727.99019138051</v>
      </c>
      <c r="O557" s="4">
        <f>F557/M557</f>
        <v>0.9379011794723358</v>
      </c>
      <c r="P557" s="4">
        <f>L557/M557</f>
        <v>0.06209882052766426</v>
      </c>
    </row>
    <row r="558" spans="1:16" ht="12.75">
      <c r="A558" s="45">
        <v>1578</v>
      </c>
      <c r="B558" s="20"/>
      <c r="C558" s="34">
        <v>4814.534</v>
      </c>
      <c r="E558" s="34">
        <f>C558+D558</f>
        <v>4814.534</v>
      </c>
      <c r="F558" s="34">
        <f>8.68938448310545*E558</f>
        <v>41835.33703298361</v>
      </c>
      <c r="H558" s="36">
        <v>76.942</v>
      </c>
      <c r="I558" s="34">
        <f>H558*0.373241712*(23.875/24)</f>
        <v>28.568391076554498</v>
      </c>
      <c r="J558" s="34"/>
      <c r="K558" s="34">
        <f>I558+J558</f>
        <v>28.568391076554498</v>
      </c>
      <c r="L558" s="34">
        <f>96.9571529340017*K558</f>
        <v>2769.909862687864</v>
      </c>
      <c r="M558" s="34">
        <f>F558+L558</f>
        <v>44605.24689567147</v>
      </c>
      <c r="O558" s="4">
        <f>F558/M558</f>
        <v>0.9379017031524007</v>
      </c>
      <c r="P558" s="4">
        <f>L558/M558</f>
        <v>0.062098296847599294</v>
      </c>
    </row>
    <row r="559" spans="1:16" ht="12.75">
      <c r="A559" s="45">
        <v>1579</v>
      </c>
      <c r="B559" s="20"/>
      <c r="C559" s="34">
        <v>12172.249</v>
      </c>
      <c r="E559" s="34">
        <f>C559+D559</f>
        <v>12172.249</v>
      </c>
      <c r="F559" s="34">
        <f>8.76507256061666*E559</f>
        <v>106690.64571089359</v>
      </c>
      <c r="H559" s="36">
        <v>343.781</v>
      </c>
      <c r="I559" s="34">
        <f>H559*0.373241712*(23.8125/24)</f>
        <v>127.31096048531364</v>
      </c>
      <c r="J559" s="34"/>
      <c r="K559" s="34">
        <f>I559+J559</f>
        <v>127.31096048531364</v>
      </c>
      <c r="L559" s="34">
        <f>97.4647889463284*K559</f>
        <v>12408.335894255448</v>
      </c>
      <c r="M559" s="34">
        <f>F559+L559</f>
        <v>119098.98160514903</v>
      </c>
      <c r="O559" s="4">
        <f>F559/M559</f>
        <v>0.8958149286667033</v>
      </c>
      <c r="P559" s="4">
        <f>L559/M559</f>
        <v>0.10418507133329674</v>
      </c>
    </row>
    <row r="560" spans="1:16" ht="12.75">
      <c r="A560" s="45">
        <v>1580</v>
      </c>
      <c r="B560" s="20"/>
      <c r="C560" s="34">
        <v>11124.858</v>
      </c>
      <c r="E560" s="34">
        <f>C560+D560</f>
        <v>11124.858</v>
      </c>
      <c r="F560" s="34">
        <f>8.76507256061666*E560</f>
        <v>97510.18759655675</v>
      </c>
      <c r="H560" s="36">
        <v>411.634</v>
      </c>
      <c r="I560" s="34">
        <f>H560*0.373241712*(23.8125/24)</f>
        <v>152.43867435492825</v>
      </c>
      <c r="J560" s="34"/>
      <c r="K560" s="34">
        <f>I560+J560</f>
        <v>152.43867435492825</v>
      </c>
      <c r="L560" s="34">
        <f>97.4647889463284*K560</f>
        <v>14857.403223261166</v>
      </c>
      <c r="M560" s="34">
        <f>F560+L560</f>
        <v>112367.59081981791</v>
      </c>
      <c r="O560" s="4">
        <f>F560/M560</f>
        <v>0.8677785728530472</v>
      </c>
      <c r="P560" s="4">
        <f>L560/M560</f>
        <v>0.1322214271469529</v>
      </c>
    </row>
    <row r="561" spans="1:16" ht="12.75">
      <c r="A561" s="45"/>
      <c r="B561" s="20"/>
      <c r="C561" s="36"/>
      <c r="E561" s="36"/>
      <c r="F561" s="36"/>
      <c r="H561" s="36"/>
      <c r="I561" s="36"/>
      <c r="J561" s="36"/>
      <c r="K561" s="36"/>
      <c r="L561" s="36"/>
      <c r="M561" s="36"/>
      <c r="O561" s="8"/>
      <c r="P561" s="8"/>
    </row>
    <row r="562" spans="1:16" ht="12.75">
      <c r="A562" s="45" t="s">
        <v>141</v>
      </c>
      <c r="B562" s="20"/>
      <c r="C562" s="36">
        <f>SUM(C556:C561)/5</f>
        <v>8071.535000000001</v>
      </c>
      <c r="E562" s="36">
        <f>SUM(E556:E561)/5</f>
        <v>8071.535000000001</v>
      </c>
      <c r="F562" s="36">
        <f>SUM(F556:F561)/5</f>
        <v>70489.33363192315</v>
      </c>
      <c r="H562" s="36"/>
      <c r="I562" s="36">
        <f>SUM(I556:I561)/5</f>
        <v>76.19679298926587</v>
      </c>
      <c r="J562" s="36"/>
      <c r="K562" s="36">
        <f>SUM(K556:K561)/5</f>
        <v>76.19679298926587</v>
      </c>
      <c r="L562" s="36">
        <f>SUM(L556:L561)/5</f>
        <v>7416.22630875675</v>
      </c>
      <c r="M562" s="36">
        <f>SUM(M556:M561)/5</f>
        <v>77905.55994067989</v>
      </c>
      <c r="O562" s="4">
        <f>F562/M562</f>
        <v>0.9048049161779502</v>
      </c>
      <c r="P562" s="4">
        <f>L562/M562</f>
        <v>0.09519508382204984</v>
      </c>
    </row>
    <row r="563" spans="1:16" ht="12.75">
      <c r="A563" s="45"/>
      <c r="B563" s="20"/>
      <c r="C563" s="36"/>
      <c r="E563" s="36"/>
      <c r="F563" s="36"/>
      <c r="H563" s="36"/>
      <c r="I563" s="36"/>
      <c r="J563" s="36"/>
      <c r="K563" s="36"/>
      <c r="L563" s="36"/>
      <c r="M563" s="36"/>
      <c r="O563" s="8"/>
      <c r="P563" s="8"/>
    </row>
    <row r="564" spans="1:16" ht="12.75">
      <c r="A564" s="45">
        <v>1581</v>
      </c>
      <c r="B564" s="20"/>
      <c r="C564" s="34">
        <v>10320.323</v>
      </c>
      <c r="E564" s="34">
        <f>C564+D564</f>
        <v>10320.323</v>
      </c>
      <c r="F564" s="34">
        <f>8.76507256061666*E564</f>
        <v>90458.37994400102</v>
      </c>
      <c r="H564" s="36">
        <v>585.389</v>
      </c>
      <c r="I564" s="34">
        <f>H564*0.373241712*(23.8125/24)</f>
        <v>216.78462697920264</v>
      </c>
      <c r="J564" s="34"/>
      <c r="K564" s="34">
        <f>I564+J564</f>
        <v>216.78462697920264</v>
      </c>
      <c r="L564" s="34">
        <f>97.4647889463284*K564</f>
        <v>21128.867915336516</v>
      </c>
      <c r="M564" s="34">
        <f>F564+L564</f>
        <v>111587.24785933754</v>
      </c>
      <c r="O564" s="4">
        <f>F564/M564</f>
        <v>0.8106515903862892</v>
      </c>
      <c r="P564" s="4">
        <f>L564/M564</f>
        <v>0.18934840961371077</v>
      </c>
    </row>
    <row r="565" spans="1:16" ht="12.75">
      <c r="A565" s="45">
        <v>1582</v>
      </c>
      <c r="B565" s="20"/>
      <c r="C565" s="34">
        <v>4701.746</v>
      </c>
      <c r="E565" s="34">
        <f>C565+D565</f>
        <v>4701.746</v>
      </c>
      <c r="F565" s="34">
        <f>8.76507256061666*E565</f>
        <v>41211.14485158914</v>
      </c>
      <c r="H565" s="36">
        <v>376.438</v>
      </c>
      <c r="I565" s="34">
        <f>H565*0.373241712*(23.8125/24)</f>
        <v>139.40468886637277</v>
      </c>
      <c r="J565" s="34"/>
      <c r="K565" s="34">
        <f>I565+J565</f>
        <v>139.40468886637277</v>
      </c>
      <c r="L565" s="34">
        <f>97.4647889463284*K565</f>
        <v>13587.048578489597</v>
      </c>
      <c r="M565" s="34">
        <f>F565+L565</f>
        <v>54798.19343007874</v>
      </c>
      <c r="O565" s="4">
        <f>F565/M565</f>
        <v>0.7520529833556215</v>
      </c>
      <c r="P565" s="4">
        <f>L565/M565</f>
        <v>0.24794701664437835</v>
      </c>
    </row>
    <row r="566" spans="1:16" ht="12.75">
      <c r="A566" s="45">
        <v>1583</v>
      </c>
      <c r="B566" s="20"/>
      <c r="C566" s="34">
        <v>21267.317</v>
      </c>
      <c r="E566" s="34">
        <f>C566+D566</f>
        <v>21267.317</v>
      </c>
      <c r="F566" s="34">
        <v>185325.67</v>
      </c>
      <c r="H566" s="34">
        <v>1531.513</v>
      </c>
      <c r="I566" s="34">
        <v>567.8650426968594</v>
      </c>
      <c r="J566" s="39"/>
      <c r="K566" s="34">
        <f>I566+J566</f>
        <v>567.8650426968594</v>
      </c>
      <c r="L566" s="34">
        <v>55205.878875</v>
      </c>
      <c r="M566" s="34">
        <f>F566+L566</f>
        <v>240531.548875</v>
      </c>
      <c r="O566" s="4">
        <f>F566/M566</f>
        <v>0.7704838341032364</v>
      </c>
      <c r="P566" s="4">
        <f>L566/M566</f>
        <v>0.2295161658967636</v>
      </c>
    </row>
    <row r="567" spans="1:16" ht="12.75">
      <c r="A567" s="45">
        <v>1584</v>
      </c>
      <c r="B567" s="20"/>
      <c r="C567" s="34">
        <v>23265.339</v>
      </c>
      <c r="E567" s="34">
        <f>C567+D567</f>
        <v>23265.339</v>
      </c>
      <c r="F567" s="34">
        <f>8.68938448310545*E567</f>
        <v>202161.47570078805</v>
      </c>
      <c r="H567" s="36">
        <v>1085.019</v>
      </c>
      <c r="I567" s="34">
        <f>H567*0.373241712*(23.875/24)</f>
        <v>402.86510771090025</v>
      </c>
      <c r="J567" s="34"/>
      <c r="K567" s="34">
        <f>I567+J567</f>
        <v>402.86510771090025</v>
      </c>
      <c r="L567" s="34">
        <f>96.9571529340017*K567</f>
        <v>39060.65386009882</v>
      </c>
      <c r="M567" s="34">
        <f>F567+L567</f>
        <v>241222.12956088688</v>
      </c>
      <c r="O567" s="4">
        <f>F567/M567</f>
        <v>0.838071847175864</v>
      </c>
      <c r="P567" s="4">
        <f>L567/M567</f>
        <v>0.16192815282413597</v>
      </c>
    </row>
    <row r="568" spans="1:16" ht="12.75">
      <c r="A568" s="45">
        <v>1585</v>
      </c>
      <c r="B568" s="20"/>
      <c r="C568" s="34">
        <v>20726.845</v>
      </c>
      <c r="E568" s="34">
        <f>C568+D568</f>
        <v>20726.845</v>
      </c>
      <c r="F568" s="34">
        <f>8.68938448310545*E568</f>
        <v>180103.5253267318</v>
      </c>
      <c r="H568" s="36">
        <v>968.682</v>
      </c>
      <c r="I568" s="34">
        <f>H568*0.373241712*(23.875/24)</f>
        <v>359.6694419799195</v>
      </c>
      <c r="J568" s="34"/>
      <c r="K568" s="34">
        <f>I568+J568</f>
        <v>359.6694419799195</v>
      </c>
      <c r="L568" s="34">
        <f>96.9571529340017*K568</f>
        <v>34872.5250917341</v>
      </c>
      <c r="M568" s="34">
        <f>F568+L568</f>
        <v>214976.0504184659</v>
      </c>
      <c r="O568" s="4">
        <f>F568/M568</f>
        <v>0.8377841390989726</v>
      </c>
      <c r="P568" s="4">
        <f>L568/M568</f>
        <v>0.16221586090102735</v>
      </c>
    </row>
    <row r="569" spans="1:16" ht="12.75">
      <c r="A569" s="45"/>
      <c r="B569" s="20"/>
      <c r="C569" s="36"/>
      <c r="E569" s="36"/>
      <c r="F569" s="36"/>
      <c r="H569" s="36"/>
      <c r="I569" s="36"/>
      <c r="J569" s="36"/>
      <c r="K569" s="36"/>
      <c r="L569" s="36"/>
      <c r="M569" s="36"/>
      <c r="O569" s="8"/>
      <c r="P569" s="8"/>
    </row>
    <row r="570" spans="1:16" ht="12.75">
      <c r="A570" s="45" t="s">
        <v>145</v>
      </c>
      <c r="B570" s="20"/>
      <c r="C570" s="36">
        <f>SUM(C564:C569)/5</f>
        <v>16056.314000000002</v>
      </c>
      <c r="E570" s="36">
        <f>SUM(E564:E569)/5</f>
        <v>16056.314000000002</v>
      </c>
      <c r="F570" s="36">
        <f>SUM(F564:F569)/5</f>
        <v>139852.039164622</v>
      </c>
      <c r="H570" s="36"/>
      <c r="I570" s="36">
        <f>SUM(I564:I569)/5</f>
        <v>337.31778164665093</v>
      </c>
      <c r="J570" s="36"/>
      <c r="K570" s="36">
        <f>SUM(K564:K569)/5</f>
        <v>337.31778164665093</v>
      </c>
      <c r="L570" s="36">
        <f>SUM(L564:L569)/5</f>
        <v>32770.994864131804</v>
      </c>
      <c r="M570" s="36">
        <f>SUM(M564:M569)/5</f>
        <v>172623.0340287538</v>
      </c>
      <c r="O570" s="4">
        <f>F570/M570</f>
        <v>0.810158620785954</v>
      </c>
      <c r="P570" s="4">
        <f>L570/M570</f>
        <v>0.18984137921404592</v>
      </c>
    </row>
    <row r="571" spans="1:16" ht="12.75">
      <c r="A571" s="45"/>
      <c r="B571" s="20"/>
      <c r="C571" s="36"/>
      <c r="E571" s="36"/>
      <c r="F571" s="36"/>
      <c r="H571" s="36"/>
      <c r="I571" s="36"/>
      <c r="J571" s="36"/>
      <c r="K571" s="36"/>
      <c r="L571" s="36"/>
      <c r="M571" s="36"/>
      <c r="O571" s="8"/>
      <c r="P571" s="8"/>
    </row>
    <row r="572" spans="1:16" ht="12.75">
      <c r="A572" s="45">
        <v>1586</v>
      </c>
      <c r="B572" s="20"/>
      <c r="C572" s="34">
        <v>11085.608</v>
      </c>
      <c r="E572" s="34">
        <f>C572+D572</f>
        <v>11085.608</v>
      </c>
      <c r="F572" s="34">
        <f>8.68938448310545*E572</f>
        <v>96327.11014098964</v>
      </c>
      <c r="H572" s="36">
        <v>691.114</v>
      </c>
      <c r="I572" s="34">
        <f>H572*0.373241712*(23.875/24)</f>
        <v>256.6090695651515</v>
      </c>
      <c r="J572" s="34"/>
      <c r="K572" s="34">
        <f>I572+J572</f>
        <v>256.6090695651515</v>
      </c>
      <c r="L572" s="34">
        <f>96.9571529340017*K572</f>
        <v>24880.084802080277</v>
      </c>
      <c r="M572" s="34">
        <f>F572+L572</f>
        <v>121207.19494306992</v>
      </c>
      <c r="O572" s="4">
        <f>F572/M572</f>
        <v>0.7947309578959709</v>
      </c>
      <c r="P572" s="4">
        <f>L572/M572</f>
        <v>0.20526904210402905</v>
      </c>
    </row>
    <row r="573" spans="1:16" ht="12.75">
      <c r="A573" s="45">
        <v>1587</v>
      </c>
      <c r="B573" s="20"/>
      <c r="C573" s="34">
        <v>5782.155</v>
      </c>
      <c r="E573" s="34">
        <f>C573+D573</f>
        <v>5782.155</v>
      </c>
      <c r="F573" s="34">
        <f>8.68938448310545*E573</f>
        <v>50243.36793591059</v>
      </c>
      <c r="H573" s="36">
        <v>337.689</v>
      </c>
      <c r="I573" s="34">
        <f>H573*0.373241712*(23.875/24)</f>
        <v>125.38316412688276</v>
      </c>
      <c r="J573" s="34"/>
      <c r="K573" s="34">
        <f>I573+J573</f>
        <v>125.38316412688276</v>
      </c>
      <c r="L573" s="34">
        <f>96.9571529340017*K573</f>
        <v>12156.794619599208</v>
      </c>
      <c r="M573" s="34">
        <f>F573+L573</f>
        <v>62400.1625555098</v>
      </c>
      <c r="O573" s="4">
        <f>F573/M573</f>
        <v>0.805180080920706</v>
      </c>
      <c r="P573" s="4">
        <f>L573/M573</f>
        <v>0.19481991907929397</v>
      </c>
    </row>
    <row r="574" spans="1:16" ht="12.75">
      <c r="A574" s="45">
        <v>1588</v>
      </c>
      <c r="B574" s="20"/>
      <c r="C574" s="34">
        <v>4373.301</v>
      </c>
      <c r="E574" s="34">
        <f>C574+D574</f>
        <v>4373.301</v>
      </c>
      <c r="F574" s="34">
        <f>8.68938448310545*E574</f>
        <v>38001.293849349546</v>
      </c>
      <c r="H574" s="36">
        <v>532.405</v>
      </c>
      <c r="I574" s="34">
        <f>H574*0.373241712*(23.875/24)</f>
        <v>197.68077579362375</v>
      </c>
      <c r="J574" s="34"/>
      <c r="K574" s="34">
        <f>I574+J574</f>
        <v>197.68077579362375</v>
      </c>
      <c r="L574" s="34">
        <f>96.9571529340017*K574</f>
        <v>19166.56521073448</v>
      </c>
      <c r="M574" s="34">
        <f>F574+L574</f>
        <v>57167.859060084025</v>
      </c>
      <c r="O574" s="4">
        <f>F574/M574</f>
        <v>0.6647317998984321</v>
      </c>
      <c r="P574" s="4">
        <f>L574/M574</f>
        <v>0.3352682001015678</v>
      </c>
    </row>
    <row r="575" spans="1:16" ht="12.75">
      <c r="A575" s="45">
        <v>1589</v>
      </c>
      <c r="B575" s="20"/>
      <c r="C575" s="34">
        <v>4445.923</v>
      </c>
      <c r="E575" s="34">
        <f>C575+D575</f>
        <v>4445.923</v>
      </c>
      <c r="F575" s="34">
        <f>8.68938448310545*E575</f>
        <v>38632.33432928163</v>
      </c>
      <c r="H575" s="36">
        <v>542.738</v>
      </c>
      <c r="I575" s="34">
        <f>H575*0.373241712*(23.875/24)</f>
        <v>201.5173953901255</v>
      </c>
      <c r="J575" s="34"/>
      <c r="K575" s="34">
        <f>I575+J575</f>
        <v>201.5173953901255</v>
      </c>
      <c r="L575" s="34">
        <f>96.9571529340017*K575</f>
        <v>19538.552923702086</v>
      </c>
      <c r="M575" s="34">
        <f>F575+L575</f>
        <v>58170.88725298371</v>
      </c>
      <c r="O575" s="4">
        <f>F575/M575</f>
        <v>0.6641180176824635</v>
      </c>
      <c r="P575" s="4">
        <f>L575/M575</f>
        <v>0.3358819823175365</v>
      </c>
    </row>
    <row r="576" spans="1:16" ht="12.75">
      <c r="A576" s="45">
        <v>1590</v>
      </c>
      <c r="B576" s="20"/>
      <c r="C576" s="34">
        <v>6339.76</v>
      </c>
      <c r="E576" s="34">
        <f>C576+D576</f>
        <v>6339.76</v>
      </c>
      <c r="F576" s="34">
        <f>8.68938448310545*E576</f>
        <v>55088.61217061261</v>
      </c>
      <c r="H576" s="36">
        <v>390.088</v>
      </c>
      <c r="I576" s="34">
        <f>H576*0.373241712*(23.875/24)</f>
        <v>144.838794654038</v>
      </c>
      <c r="J576" s="34"/>
      <c r="K576" s="34">
        <f>I576+J576</f>
        <v>144.838794654038</v>
      </c>
      <c r="L576" s="34">
        <f>96.9571529340017*K576</f>
        <v>14043.157164048029</v>
      </c>
      <c r="M576" s="34">
        <f>F576+L576</f>
        <v>69131.76933466064</v>
      </c>
      <c r="O576" s="4">
        <f>F576/M576</f>
        <v>0.7968639122186157</v>
      </c>
      <c r="P576" s="4">
        <f>L576/M576</f>
        <v>0.2031360877813842</v>
      </c>
    </row>
    <row r="577" spans="1:16" ht="12.75">
      <c r="A577" s="45"/>
      <c r="B577" s="20"/>
      <c r="C577" s="36"/>
      <c r="E577" s="36"/>
      <c r="F577" s="36"/>
      <c r="H577" s="36"/>
      <c r="I577" s="36"/>
      <c r="J577" s="36"/>
      <c r="K577" s="36"/>
      <c r="L577" s="36"/>
      <c r="M577" s="36"/>
      <c r="O577" s="8"/>
      <c r="P577" s="8"/>
    </row>
    <row r="578" spans="1:16" ht="12.75">
      <c r="A578" s="45" t="s">
        <v>147</v>
      </c>
      <c r="B578" s="20"/>
      <c r="C578" s="36">
        <f>SUM(C572:C577)/5</f>
        <v>6405.349399999999</v>
      </c>
      <c r="E578" s="36">
        <f>SUM(E572:E577)/5</f>
        <v>6405.349399999999</v>
      </c>
      <c r="F578" s="36">
        <f>SUM(F572:F577)/5</f>
        <v>55658.54368522881</v>
      </c>
      <c r="H578" s="36"/>
      <c r="I578" s="36">
        <f>SUM(I572:I577)/5</f>
        <v>185.2058399059643</v>
      </c>
      <c r="J578" s="36"/>
      <c r="K578" s="36">
        <f>SUM(K572:K577)/5</f>
        <v>185.2058399059643</v>
      </c>
      <c r="L578" s="36">
        <f>SUM(L572:L577)/5</f>
        <v>17957.030944032816</v>
      </c>
      <c r="M578" s="36">
        <f>SUM(M572:M577)/5</f>
        <v>73615.57462926162</v>
      </c>
      <c r="O578" s="4">
        <f>F578/M578</f>
        <v>0.7560702197263698</v>
      </c>
      <c r="P578" s="4">
        <f>L578/M578</f>
        <v>0.24392978027363024</v>
      </c>
    </row>
    <row r="579" spans="1:16" ht="12.75">
      <c r="A579" s="45"/>
      <c r="B579" s="20"/>
      <c r="C579" s="36"/>
      <c r="E579" s="36"/>
      <c r="F579" s="36"/>
      <c r="H579" s="36"/>
      <c r="I579" s="36"/>
      <c r="J579" s="36"/>
      <c r="K579" s="36"/>
      <c r="L579" s="36"/>
      <c r="M579" s="36"/>
      <c r="O579" s="8"/>
      <c r="P579" s="8"/>
    </row>
    <row r="580" spans="1:16" ht="12.75">
      <c r="A580" s="45">
        <v>1591</v>
      </c>
      <c r="B580" s="20"/>
      <c r="C580" s="34">
        <v>10150.551</v>
      </c>
      <c r="E580" s="34">
        <f>C580+D580</f>
        <v>10150.551</v>
      </c>
      <c r="F580" s="34">
        <f>8.68938448310545*E580</f>
        <v>88202.0403543705</v>
      </c>
      <c r="H580" s="36">
        <v>635.246</v>
      </c>
      <c r="I580" s="34">
        <f>H580*0.373241712*(23.875/24)</f>
        <v>235.86540716145848</v>
      </c>
      <c r="J580" s="34"/>
      <c r="K580" s="34">
        <f>I580+J580</f>
        <v>235.86540716145848</v>
      </c>
      <c r="L580" s="34">
        <f>96.9571529340017*K580</f>
        <v>22868.83835399411</v>
      </c>
      <c r="M580" s="34">
        <f>F580+L580</f>
        <v>111070.87870836462</v>
      </c>
      <c r="O580" s="4">
        <f>F580/M580</f>
        <v>0.7941059022856917</v>
      </c>
      <c r="P580" s="4">
        <f>L580/M580</f>
        <v>0.2058940977143083</v>
      </c>
    </row>
    <row r="581" spans="1:16" ht="12.75">
      <c r="A581" s="45">
        <v>1592</v>
      </c>
      <c r="B581" s="20"/>
      <c r="C581" s="34">
        <v>18243.882</v>
      </c>
      <c r="E581" s="34">
        <f>C581+D581</f>
        <v>18243.882</v>
      </c>
      <c r="F581" s="34">
        <f>8.68938448310545*E581</f>
        <v>158528.10516240684</v>
      </c>
      <c r="H581" s="36">
        <v>536.545</v>
      </c>
      <c r="I581" s="34">
        <f>H581*0.373241712*(23.875/24)</f>
        <v>199.21794845688873</v>
      </c>
      <c r="J581" s="34"/>
      <c r="K581" s="34">
        <f>I581+J581</f>
        <v>199.21794845688873</v>
      </c>
      <c r="L581" s="34">
        <f>96.9571529340017*K581</f>
        <v>19315.60509573263</v>
      </c>
      <c r="M581" s="34">
        <f>F581+L581</f>
        <v>177843.71025813947</v>
      </c>
      <c r="O581" s="4">
        <f>F581/M581</f>
        <v>0.8913900015485726</v>
      </c>
      <c r="P581" s="4">
        <f>L581/M581</f>
        <v>0.1086099984514274</v>
      </c>
    </row>
    <row r="582" spans="1:16" ht="12.75">
      <c r="A582" s="45">
        <v>1593</v>
      </c>
      <c r="B582" s="20"/>
      <c r="C582" s="34">
        <v>21624.115</v>
      </c>
      <c r="E582" s="34">
        <f>C582+D582</f>
        <v>21624.115</v>
      </c>
      <c r="F582" s="34">
        <f>8.68938448310545*E582</f>
        <v>187900.2493418878</v>
      </c>
      <c r="H582" s="36">
        <v>410.639</v>
      </c>
      <c r="I582" s="34">
        <f>H582*0.373241712*(23.875/24)</f>
        <v>152.46933460639525</v>
      </c>
      <c r="J582" s="34"/>
      <c r="K582" s="34">
        <f>I582+J582</f>
        <v>152.46933460639525</v>
      </c>
      <c r="L582" s="34">
        <f>96.9571529340017*K582</f>
        <v>14782.992593177742</v>
      </c>
      <c r="M582" s="34">
        <f>F582+L582</f>
        <v>202683.24193506554</v>
      </c>
      <c r="O582" s="4">
        <f>F582/M582</f>
        <v>0.9270635675054288</v>
      </c>
      <c r="P582" s="4">
        <f>L582/M582</f>
        <v>0.07293643249457116</v>
      </c>
    </row>
    <row r="583" spans="1:16" ht="12.75">
      <c r="A583" s="45">
        <v>1594</v>
      </c>
      <c r="B583" s="20"/>
      <c r="C583" s="34">
        <v>21624.15</v>
      </c>
      <c r="E583" s="34">
        <f>C583+D583</f>
        <v>21624.15</v>
      </c>
      <c r="F583" s="34">
        <f>8.68938448310545*E583</f>
        <v>187900.55347034472</v>
      </c>
      <c r="H583" s="36">
        <v>410.639</v>
      </c>
      <c r="I583" s="34">
        <f>H583*0.373241712*(23.875/24)</f>
        <v>152.46933460639525</v>
      </c>
      <c r="J583" s="34"/>
      <c r="K583" s="34">
        <f>I583+J583</f>
        <v>152.46933460639525</v>
      </c>
      <c r="L583" s="34">
        <f>96.9571529340017*K583</f>
        <v>14782.992593177742</v>
      </c>
      <c r="M583" s="34">
        <f>F583+L583</f>
        <v>202683.54606352246</v>
      </c>
      <c r="O583" s="4">
        <f>F583/M583</f>
        <v>0.9270636769471922</v>
      </c>
      <c r="P583" s="4">
        <f>L583/M583</f>
        <v>0.07293632305280788</v>
      </c>
    </row>
    <row r="584" spans="1:16" ht="12.75">
      <c r="A584" s="45">
        <v>1595</v>
      </c>
      <c r="B584" s="20"/>
      <c r="C584" s="34">
        <v>21624.115</v>
      </c>
      <c r="E584" s="34">
        <f>C584+D584</f>
        <v>21624.115</v>
      </c>
      <c r="F584" s="34">
        <f>8.68938448310545*E584</f>
        <v>187900.2493418878</v>
      </c>
      <c r="H584" s="36">
        <v>410.639</v>
      </c>
      <c r="I584" s="34">
        <f>H584*0.373241712*(23.875/24)</f>
        <v>152.46933460639525</v>
      </c>
      <c r="J584" s="34"/>
      <c r="K584" s="34">
        <f>I584+J584</f>
        <v>152.46933460639525</v>
      </c>
      <c r="L584" s="34">
        <f>96.9571529340017*K584</f>
        <v>14782.992593177742</v>
      </c>
      <c r="M584" s="34">
        <f>F584+L584</f>
        <v>202683.24193506554</v>
      </c>
      <c r="O584" s="4">
        <f>F584/M584</f>
        <v>0.9270635675054288</v>
      </c>
      <c r="P584" s="4">
        <f>L584/M584</f>
        <v>0.07293643249457116</v>
      </c>
    </row>
    <row r="585" spans="1:16" ht="12.75">
      <c r="A585" s="45"/>
      <c r="B585" s="20"/>
      <c r="C585" s="36"/>
      <c r="E585" s="36"/>
      <c r="F585" s="36"/>
      <c r="H585" s="36"/>
      <c r="I585" s="36"/>
      <c r="J585" s="36"/>
      <c r="K585" s="36"/>
      <c r="L585" s="36"/>
      <c r="M585" s="36"/>
      <c r="O585" s="8"/>
      <c r="P585" s="8"/>
    </row>
    <row r="586" spans="1:16" ht="12.75">
      <c r="A586" s="45" t="s">
        <v>149</v>
      </c>
      <c r="B586" s="20"/>
      <c r="C586" s="36">
        <f>SUM(C580:C585)/5</f>
        <v>18653.3626</v>
      </c>
      <c r="E586" s="36">
        <f>SUM(E580:E585)/5</f>
        <v>18653.3626</v>
      </c>
      <c r="F586" s="36">
        <f>SUM(F580:F585)/5</f>
        <v>162086.23953417953</v>
      </c>
      <c r="H586" s="36"/>
      <c r="I586" s="36">
        <f>SUM(I580:I585)/5</f>
        <v>178.4982718875066</v>
      </c>
      <c r="J586" s="36"/>
      <c r="K586" s="36">
        <f>SUM(K580:K585)/5</f>
        <v>178.4982718875066</v>
      </c>
      <c r="L586" s="36">
        <f>SUM(L580:L585)/5</f>
        <v>17306.68424585199</v>
      </c>
      <c r="M586" s="36">
        <f>SUM(M580:M585)/5</f>
        <v>179392.9237800315</v>
      </c>
      <c r="O586" s="4">
        <f>F586/M586</f>
        <v>0.9035263828629432</v>
      </c>
      <c r="P586" s="4">
        <f>L586/M586</f>
        <v>0.0964736171370569</v>
      </c>
    </row>
    <row r="587" spans="1:16" ht="12.75">
      <c r="A587" s="45"/>
      <c r="B587" s="20"/>
      <c r="C587" s="36"/>
      <c r="E587" s="36"/>
      <c r="F587" s="36"/>
      <c r="H587" s="36"/>
      <c r="I587" s="36"/>
      <c r="J587" s="36"/>
      <c r="K587" s="36"/>
      <c r="L587" s="36"/>
      <c r="M587" s="36"/>
      <c r="O587" s="8"/>
      <c r="P587" s="8"/>
    </row>
    <row r="588" spans="1:16" ht="12.75">
      <c r="A588" s="45">
        <v>1596</v>
      </c>
      <c r="B588" s="20"/>
      <c r="C588" s="34">
        <v>21624.115</v>
      </c>
      <c r="E588" s="34">
        <f>C588+D588</f>
        <v>21624.115</v>
      </c>
      <c r="F588" s="34">
        <f>8.68938448310545*E588</f>
        <v>187900.2493418878</v>
      </c>
      <c r="H588" s="36">
        <v>410.639</v>
      </c>
      <c r="I588" s="34">
        <f>H588*0.373241712*(23.875/24)</f>
        <v>152.46933460639525</v>
      </c>
      <c r="J588" s="34"/>
      <c r="K588" s="34">
        <f>I588+J588</f>
        <v>152.46933460639525</v>
      </c>
      <c r="L588" s="34">
        <f>96.9571529340017*K588</f>
        <v>14782.992593177742</v>
      </c>
      <c r="M588" s="34">
        <f>F588+L588</f>
        <v>202683.24193506554</v>
      </c>
      <c r="O588" s="4">
        <f>F588/M588</f>
        <v>0.9270635675054288</v>
      </c>
      <c r="P588" s="4">
        <f>L588/M588</f>
        <v>0.07293643249457116</v>
      </c>
    </row>
    <row r="589" spans="1:16" ht="12.75">
      <c r="A589" s="45">
        <v>1597</v>
      </c>
      <c r="B589" s="20"/>
      <c r="C589" s="34">
        <v>8988.734</v>
      </c>
      <c r="E589" s="34">
        <f>C589+D589</f>
        <v>8988.734</v>
      </c>
      <c r="F589" s="34">
        <f>8.68938448310545*E589</f>
        <v>78106.56574236238</v>
      </c>
      <c r="H589" s="34">
        <v>291.577</v>
      </c>
      <c r="I589" s="34">
        <v>106.65669694226047</v>
      </c>
      <c r="J589" s="39"/>
      <c r="K589" s="34">
        <f>I589+J589</f>
        <v>106.65669694226047</v>
      </c>
      <c r="L589" s="34">
        <v>10332.294</v>
      </c>
      <c r="M589" s="34">
        <f>F589+L589</f>
        <v>88438.85974236237</v>
      </c>
      <c r="O589" s="4">
        <f>F589/M589</f>
        <v>0.8831702033461337</v>
      </c>
      <c r="P589" s="4">
        <f>L589/M589</f>
        <v>0.11682979665386632</v>
      </c>
    </row>
    <row r="590" spans="1:16" ht="12.75">
      <c r="A590" s="45">
        <v>1598</v>
      </c>
      <c r="B590" s="20"/>
      <c r="C590" s="34">
        <v>2487.543</v>
      </c>
      <c r="E590" s="34">
        <f>C590+D590</f>
        <v>2487.543</v>
      </c>
      <c r="F590" s="34">
        <f>8.68938448310545*E590</f>
        <v>21615.21754525758</v>
      </c>
      <c r="H590" s="34">
        <v>230.31799999999998</v>
      </c>
      <c r="I590" s="34">
        <v>83.09125900114684</v>
      </c>
      <c r="J590" s="39"/>
      <c r="K590" s="34">
        <f>I590+J590</f>
        <v>83.09125900114684</v>
      </c>
      <c r="L590" s="34">
        <v>8042.342999999999</v>
      </c>
      <c r="M590" s="34">
        <f>F590+L590</f>
        <v>29657.560545257576</v>
      </c>
      <c r="O590" s="4">
        <f>F590/M590</f>
        <v>0.7288265503925266</v>
      </c>
      <c r="P590" s="4">
        <f>L590/M590</f>
        <v>0.27117344960747347</v>
      </c>
    </row>
    <row r="591" spans="1:16" ht="12.75">
      <c r="A591" s="45">
        <v>1599</v>
      </c>
      <c r="B591" s="20"/>
      <c r="C591" s="34">
        <v>2487.543</v>
      </c>
      <c r="E591" s="34">
        <f>C591+D591</f>
        <v>2487.543</v>
      </c>
      <c r="F591" s="34">
        <f>8.68938448310545*E591</f>
        <v>21615.21754525758</v>
      </c>
      <c r="H591" s="34">
        <v>230.31799999999998</v>
      </c>
      <c r="I591" s="34">
        <v>83.09125900114684</v>
      </c>
      <c r="J591" s="39"/>
      <c r="K591" s="34">
        <f>I591+J591</f>
        <v>83.09125900114684</v>
      </c>
      <c r="L591" s="34">
        <v>8042.342999999999</v>
      </c>
      <c r="M591" s="34">
        <f>F591+L591</f>
        <v>29657.560545257576</v>
      </c>
      <c r="O591" s="4">
        <f>F591/M591</f>
        <v>0.7288265503925266</v>
      </c>
      <c r="P591" s="4">
        <f>L591/M591</f>
        <v>0.27117344960747347</v>
      </c>
    </row>
    <row r="592" spans="1:16" ht="12.75">
      <c r="A592" s="45">
        <v>1600</v>
      </c>
      <c r="B592" s="20"/>
      <c r="C592" s="34">
        <f>3139.34779305*(365/666)</f>
        <v>1720.513430125</v>
      </c>
      <c r="E592" s="34">
        <f>C592+D592</f>
        <v>1720.513430125</v>
      </c>
      <c r="F592" s="34">
        <f>8.68938448310545*E592</f>
        <v>14950.202702702707</v>
      </c>
      <c r="H592" s="36">
        <f>1222.52083333333*(366/667)</f>
        <v>670.828523238379</v>
      </c>
      <c r="I592" s="36">
        <f>424.391908246745*(366/667)</f>
        <v>232.87472026732937</v>
      </c>
      <c r="J592" s="34"/>
      <c r="K592" s="34">
        <f>I592+J592</f>
        <v>232.87472026732937</v>
      </c>
      <c r="L592" s="36">
        <f>40972.875*(366/667)</f>
        <v>22482.866941529235</v>
      </c>
      <c r="M592" s="34">
        <f>F592+L592</f>
        <v>37433.069644231946</v>
      </c>
      <c r="O592" s="4">
        <f>F592/M592</f>
        <v>0.39938489802709465</v>
      </c>
      <c r="P592" s="4">
        <f>L592/M592</f>
        <v>0.6006151019729052</v>
      </c>
    </row>
    <row r="593" spans="1:16" ht="12.75">
      <c r="A593" s="45"/>
      <c r="B593" s="20"/>
      <c r="C593" s="36"/>
      <c r="E593" s="36"/>
      <c r="F593" s="36"/>
      <c r="H593" s="36"/>
      <c r="I593" s="36"/>
      <c r="J593" s="36"/>
      <c r="K593" s="36"/>
      <c r="L593" s="36"/>
      <c r="M593" s="36"/>
      <c r="O593" s="8"/>
      <c r="P593" s="8"/>
    </row>
    <row r="594" spans="1:16" ht="12.75">
      <c r="A594" s="45" t="s">
        <v>151</v>
      </c>
      <c r="B594" s="20"/>
      <c r="C594" s="36">
        <f>SUM(C588:C593)/5</f>
        <v>7461.689686025</v>
      </c>
      <c r="E594" s="36">
        <f>SUM(E588:E593)/5</f>
        <v>7461.689686025</v>
      </c>
      <c r="F594" s="36">
        <f>SUM(F588:F593)/5</f>
        <v>64837.49057549362</v>
      </c>
      <c r="H594" s="36"/>
      <c r="I594" s="36">
        <f>SUM(I588:I593)/5</f>
        <v>131.63665396365576</v>
      </c>
      <c r="J594" s="36"/>
      <c r="K594" s="36">
        <f>SUM(K588:K593)/5</f>
        <v>131.63665396365576</v>
      </c>
      <c r="L594" s="36">
        <f>SUM(L588:L593)/5</f>
        <v>12736.567906941395</v>
      </c>
      <c r="M594" s="36">
        <f>SUM(M588:M593)/5</f>
        <v>77574.058482435</v>
      </c>
      <c r="O594" s="4">
        <f>F594/M594</f>
        <v>0.8358140832630885</v>
      </c>
      <c r="P594" s="4">
        <f>L594/M594</f>
        <v>0.16418591673691174</v>
      </c>
    </row>
    <row r="595" spans="1:16" ht="12.75">
      <c r="A595" s="45"/>
      <c r="B595" s="20"/>
      <c r="C595" s="36"/>
      <c r="E595" s="36"/>
      <c r="F595" s="36"/>
      <c r="H595" s="36"/>
      <c r="I595" s="36"/>
      <c r="J595" s="36"/>
      <c r="K595" s="36"/>
      <c r="L595" s="36"/>
      <c r="M595" s="36"/>
      <c r="O595" s="8"/>
      <c r="P595" s="8"/>
    </row>
    <row r="596" spans="1:16" ht="12.75">
      <c r="A596" s="45">
        <v>1601</v>
      </c>
      <c r="B596" s="20"/>
      <c r="C596" s="34"/>
      <c r="E596" s="34"/>
      <c r="F596" s="34">
        <f>8.9790306325423*E596</f>
        <v>0</v>
      </c>
      <c r="H596" s="36"/>
      <c r="I596" s="34"/>
      <c r="J596" s="34"/>
      <c r="K596" s="34">
        <f>I596+J596</f>
        <v>0</v>
      </c>
      <c r="L596" s="34"/>
      <c r="M596" s="34">
        <f>F596+L596</f>
        <v>0</v>
      </c>
      <c r="O596" s="4" t="e">
        <f>F596/M596</f>
        <v>#VALUE!</v>
      </c>
      <c r="P596" s="4" t="e">
        <f>L596/M596</f>
        <v>#VALUE!</v>
      </c>
    </row>
    <row r="597" spans="1:16" ht="12.75">
      <c r="A597" s="45">
        <v>1602</v>
      </c>
      <c r="B597" s="20"/>
      <c r="C597" s="34"/>
      <c r="E597" s="34"/>
      <c r="F597" s="34">
        <f>8.9790306325423*E597</f>
        <v>0</v>
      </c>
      <c r="H597" s="36"/>
      <c r="I597" s="34"/>
      <c r="J597" s="34"/>
      <c r="K597" s="34">
        <f>I597+J597</f>
        <v>0</v>
      </c>
      <c r="L597" s="34"/>
      <c r="M597" s="34">
        <f>F597+L597</f>
        <v>0</v>
      </c>
      <c r="O597" s="4" t="e">
        <f>F597/M597</f>
        <v>#VALUE!</v>
      </c>
      <c r="P597" s="4" t="e">
        <f>L597/M597</f>
        <v>#VALUE!</v>
      </c>
    </row>
    <row r="598" spans="1:16" ht="12.75">
      <c r="A598" s="45">
        <v>1603</v>
      </c>
      <c r="B598" s="20"/>
      <c r="C598" s="34"/>
      <c r="E598" s="34"/>
      <c r="F598" s="34">
        <f>8.9790306325423*E598</f>
        <v>0</v>
      </c>
      <c r="H598" s="36"/>
      <c r="I598" s="34"/>
      <c r="J598" s="34"/>
      <c r="K598" s="34">
        <f>I598+J598</f>
        <v>0</v>
      </c>
      <c r="L598" s="34"/>
      <c r="M598" s="34">
        <f>F598+L598</f>
        <v>0</v>
      </c>
      <c r="O598" s="4" t="e">
        <f>F598/M598</f>
        <v>#VALUE!</v>
      </c>
      <c r="P598" s="4" t="e">
        <f>L598/M598</f>
        <v>#VALUE!</v>
      </c>
    </row>
    <row r="599" spans="1:16" ht="12.75">
      <c r="A599" s="45">
        <v>1604</v>
      </c>
      <c r="B599" s="20"/>
      <c r="C599" s="34"/>
      <c r="E599" s="34"/>
      <c r="F599" s="34">
        <f>8.9790306325423*E599</f>
        <v>0</v>
      </c>
      <c r="H599" s="36"/>
      <c r="I599" s="34"/>
      <c r="J599" s="34"/>
      <c r="K599" s="34">
        <f>I599+J599</f>
        <v>0</v>
      </c>
      <c r="L599" s="34"/>
      <c r="M599" s="34">
        <f>F599+L599</f>
        <v>0</v>
      </c>
      <c r="O599" s="4" t="e">
        <f>F599/M599</f>
        <v>#VALUE!</v>
      </c>
      <c r="P599" s="4" t="e">
        <f>L599/M599</f>
        <v>#VALUE!</v>
      </c>
    </row>
    <row r="600" spans="1:16" ht="12.75">
      <c r="A600" s="45">
        <v>1605</v>
      </c>
      <c r="B600" s="20"/>
      <c r="C600" s="34"/>
      <c r="E600" s="34"/>
      <c r="F600" s="34">
        <f>8.9790306325423*E600</f>
        <v>0</v>
      </c>
      <c r="H600" s="36"/>
      <c r="I600" s="34"/>
      <c r="J600" s="34"/>
      <c r="K600" s="34">
        <f>I600+J600</f>
        <v>0</v>
      </c>
      <c r="L600" s="34"/>
      <c r="M600" s="34">
        <f>F600+L600</f>
        <v>0</v>
      </c>
      <c r="O600" s="4" t="e">
        <f>F600/M600</f>
        <v>#VALUE!</v>
      </c>
      <c r="P600" s="4" t="e">
        <f>L600/M600</f>
        <v>#VALUE!</v>
      </c>
    </row>
    <row r="601" spans="1:16" ht="12.75">
      <c r="A601" s="45">
        <v>1606</v>
      </c>
      <c r="B601" s="20"/>
      <c r="C601" s="34"/>
      <c r="E601" s="34"/>
      <c r="F601" s="34">
        <f>8.9790306325423*E601</f>
        <v>0</v>
      </c>
      <c r="H601" s="36"/>
      <c r="I601" s="34"/>
      <c r="J601" s="34"/>
      <c r="K601" s="34">
        <f>I601+J601</f>
        <v>0</v>
      </c>
      <c r="L601" s="34"/>
      <c r="M601" s="34">
        <f>F601+L601</f>
        <v>0</v>
      </c>
      <c r="O601" s="4" t="e">
        <f>F601/M601</f>
        <v>#VALUE!</v>
      </c>
      <c r="P601" s="4" t="e">
        <f>L601/M601</f>
        <v>#VALUE!</v>
      </c>
    </row>
    <row r="602" spans="1:16" ht="12.75">
      <c r="A602" s="45">
        <v>1607</v>
      </c>
      <c r="B602" s="20"/>
      <c r="C602" s="34"/>
      <c r="E602" s="34"/>
      <c r="F602" s="34">
        <f>8.9790306325423*E602</f>
        <v>0</v>
      </c>
      <c r="H602" s="36"/>
      <c r="I602" s="34"/>
      <c r="J602" s="34"/>
      <c r="K602" s="34">
        <f>I602+J602</f>
        <v>0</v>
      </c>
      <c r="L602" s="34"/>
      <c r="M602" s="34">
        <f>F602+L602</f>
        <v>0</v>
      </c>
      <c r="O602" s="4" t="e">
        <f>F602/M602</f>
        <v>#VALUE!</v>
      </c>
      <c r="P602" s="4" t="e">
        <f>L602/M602</f>
        <v>#VALUE!</v>
      </c>
    </row>
    <row r="603" spans="1:16" ht="12.75">
      <c r="A603" s="45">
        <v>1608</v>
      </c>
      <c r="B603" s="20"/>
      <c r="C603" s="34"/>
      <c r="E603" s="34"/>
      <c r="F603" s="34">
        <f>8.9790306325423*E603</f>
        <v>0</v>
      </c>
      <c r="H603" s="36"/>
      <c r="I603" s="34"/>
      <c r="J603" s="34"/>
      <c r="K603" s="34">
        <f>I603+J603</f>
        <v>0</v>
      </c>
      <c r="L603" s="34"/>
      <c r="M603" s="34">
        <f>F603+L603</f>
        <v>0</v>
      </c>
      <c r="O603" s="4" t="e">
        <f>F603/M603</f>
        <v>#VALUE!</v>
      </c>
      <c r="P603" s="4" t="e">
        <f>L603/M603</f>
        <v>#VALUE!</v>
      </c>
    </row>
    <row r="604" spans="1:16" ht="12.75">
      <c r="A604" s="45">
        <v>1609</v>
      </c>
      <c r="B604" s="20"/>
      <c r="C604" s="34"/>
      <c r="E604" s="34"/>
      <c r="F604" s="34">
        <f>8.9790306325423*E604</f>
        <v>0</v>
      </c>
      <c r="H604" s="36"/>
      <c r="I604" s="34"/>
      <c r="J604" s="34"/>
      <c r="K604" s="34">
        <f>I604+J604</f>
        <v>0</v>
      </c>
      <c r="L604" s="34"/>
      <c r="M604" s="34">
        <f>F604+L604</f>
        <v>0</v>
      </c>
      <c r="O604" s="4" t="e">
        <f>F604/M604</f>
        <v>#VALUE!</v>
      </c>
      <c r="P604" s="4" t="e">
        <f>L604/M604</f>
        <v>#VALUE!</v>
      </c>
    </row>
    <row r="605" spans="1:16" ht="12.75">
      <c r="A605" s="45">
        <v>1610</v>
      </c>
      <c r="B605" s="20"/>
      <c r="C605" s="34"/>
      <c r="E605" s="34"/>
      <c r="F605" s="34">
        <f>8.9790306325423*E605</f>
        <v>0</v>
      </c>
      <c r="H605" s="36"/>
      <c r="I605" s="34"/>
      <c r="J605" s="34"/>
      <c r="K605" s="34">
        <f>I605+J605</f>
        <v>0</v>
      </c>
      <c r="L605" s="34"/>
      <c r="M605" s="34">
        <f>F605+L605</f>
        <v>0</v>
      </c>
      <c r="O605" s="4" t="e">
        <f>F605/M605</f>
        <v>#VALUE!</v>
      </c>
      <c r="P605" s="4" t="e">
        <f>L605/M605</f>
        <v>#VALUE!</v>
      </c>
    </row>
    <row r="606" spans="1:16" ht="12.75">
      <c r="A606" s="45">
        <v>1611</v>
      </c>
      <c r="B606" s="20"/>
      <c r="C606" s="34"/>
      <c r="E606" s="34"/>
      <c r="F606" s="34">
        <f>8.9790306325423*E606</f>
        <v>0</v>
      </c>
      <c r="H606" s="36"/>
      <c r="I606" s="34"/>
      <c r="J606" s="34"/>
      <c r="K606" s="34">
        <f>I606+J606</f>
        <v>0</v>
      </c>
      <c r="L606" s="34"/>
      <c r="M606" s="34">
        <f>F606+L606</f>
        <v>0</v>
      </c>
      <c r="O606" s="4" t="e">
        <f>F606/M606</f>
        <v>#VALUE!</v>
      </c>
      <c r="P606" s="4" t="e">
        <f>L606/M606</f>
        <v>#VALUE!</v>
      </c>
    </row>
    <row r="607" spans="1:16" ht="12.75">
      <c r="A607" s="45">
        <v>1612</v>
      </c>
      <c r="B607" s="20"/>
      <c r="C607" s="34"/>
      <c r="E607" s="34"/>
      <c r="F607" s="34">
        <f>8.9790306325423*E607</f>
        <v>0</v>
      </c>
      <c r="H607" s="36"/>
      <c r="I607" s="34"/>
      <c r="J607" s="34"/>
      <c r="K607" s="34">
        <f>I607+J607</f>
        <v>0</v>
      </c>
      <c r="L607" s="34"/>
      <c r="M607" s="34">
        <f>F607+L607</f>
        <v>0</v>
      </c>
      <c r="O607" s="4" t="e">
        <f>F607/M607</f>
        <v>#VALUE!</v>
      </c>
      <c r="P607" s="4" t="e">
        <f>L607/M607</f>
        <v>#VALUE!</v>
      </c>
    </row>
    <row r="608" spans="1:16" ht="12.75">
      <c r="A608" s="45">
        <v>1613</v>
      </c>
      <c r="B608" s="20"/>
      <c r="C608" s="34"/>
      <c r="E608" s="34"/>
      <c r="F608" s="34">
        <f>8.9790306325423*E608</f>
        <v>0</v>
      </c>
      <c r="H608" s="36"/>
      <c r="I608" s="34"/>
      <c r="J608" s="34"/>
      <c r="K608" s="34">
        <f>I608+J608</f>
        <v>0</v>
      </c>
      <c r="L608" s="34"/>
      <c r="M608" s="34">
        <f>F608+L608</f>
        <v>0</v>
      </c>
      <c r="O608" s="4" t="e">
        <f>F608/M608</f>
        <v>#VALUE!</v>
      </c>
      <c r="P608" s="4" t="e">
        <f>L608/M608</f>
        <v>#VALUE!</v>
      </c>
    </row>
    <row r="609" spans="1:16" ht="12.75">
      <c r="A609" s="45">
        <v>1614</v>
      </c>
      <c r="B609" s="20"/>
      <c r="C609" s="34"/>
      <c r="E609" s="34"/>
      <c r="F609" s="34">
        <f>8.9790306325423*E609</f>
        <v>0</v>
      </c>
      <c r="H609" s="36"/>
      <c r="I609" s="34"/>
      <c r="K609" s="34">
        <f>I609+J609</f>
        <v>0</v>
      </c>
      <c r="L609" s="34"/>
      <c r="M609" s="34">
        <f>F609+L609</f>
        <v>0</v>
      </c>
      <c r="O609" s="4" t="e">
        <f>F609/M609</f>
        <v>#VALUE!</v>
      </c>
      <c r="P609" s="4" t="e">
        <f>L609/M609</f>
        <v>#VALUE!</v>
      </c>
    </row>
    <row r="610" spans="1:16" ht="12.75">
      <c r="A610" s="45">
        <v>1615</v>
      </c>
      <c r="B610" s="20"/>
      <c r="C610" s="34"/>
      <c r="E610" s="34"/>
      <c r="F610" s="34">
        <f>8.9790306325423*E610</f>
        <v>0</v>
      </c>
      <c r="H610" s="36"/>
      <c r="I610" s="34"/>
      <c r="K610" s="34">
        <f>I610+J610</f>
        <v>0</v>
      </c>
      <c r="M610" s="34">
        <f>F610+L610</f>
        <v>0</v>
      </c>
      <c r="O610" s="4" t="e">
        <f>F610/M610</f>
        <v>#VALUE!</v>
      </c>
      <c r="P610" s="4" t="e">
        <f>L610/M610</f>
        <v>#VALUE!</v>
      </c>
    </row>
    <row r="611" spans="1:16" ht="12.75">
      <c r="A611" s="45">
        <v>1616</v>
      </c>
      <c r="B611" s="20"/>
      <c r="C611" s="34"/>
      <c r="E611" s="34"/>
      <c r="F611" s="34">
        <f>8.9790306325423*E611</f>
        <v>0</v>
      </c>
      <c r="H611" s="36"/>
      <c r="I611" s="34"/>
      <c r="K611" s="34">
        <f>I611+J611</f>
        <v>0</v>
      </c>
      <c r="M611" s="34">
        <f>F611+L611</f>
        <v>0</v>
      </c>
      <c r="O611" s="4" t="e">
        <f>F611/M611</f>
        <v>#VALUE!</v>
      </c>
      <c r="P611" s="4" t="e">
        <f>L611/M611</f>
        <v>#VALUE!</v>
      </c>
    </row>
    <row r="612" spans="1:16" ht="12.75">
      <c r="A612" s="45">
        <v>1617</v>
      </c>
      <c r="B612" s="20"/>
      <c r="C612" s="34"/>
      <c r="E612" s="34"/>
      <c r="F612" s="34">
        <f>8.9790306325423*E612</f>
        <v>0</v>
      </c>
      <c r="H612" s="36"/>
      <c r="I612" s="34"/>
      <c r="K612" s="34">
        <f>I612+J612</f>
        <v>0</v>
      </c>
      <c r="M612" s="34">
        <f>F612+L612</f>
        <v>0</v>
      </c>
      <c r="O612" s="4" t="e">
        <f>F612/M612</f>
        <v>#VALUE!</v>
      </c>
      <c r="P612" s="4" t="e">
        <f>L612/M612</f>
        <v>#VALUE!</v>
      </c>
    </row>
    <row r="613" spans="1:16" ht="12.75">
      <c r="A613" s="45">
        <v>1618</v>
      </c>
      <c r="B613" s="20"/>
      <c r="C613" s="34"/>
      <c r="E613" s="34"/>
      <c r="F613" s="34">
        <f>8.9790306325423*E613</f>
        <v>0</v>
      </c>
      <c r="H613" s="36"/>
      <c r="I613" s="34"/>
      <c r="K613" s="34">
        <f>I613+J613</f>
        <v>0</v>
      </c>
      <c r="M613" s="34">
        <f>F613+L613</f>
        <v>0</v>
      </c>
      <c r="O613" s="4" t="e">
        <f>F613/M613</f>
        <v>#VALUE!</v>
      </c>
      <c r="P613" s="4" t="e">
        <f>L613/M613</f>
        <v>#VALUE!</v>
      </c>
    </row>
    <row r="614" spans="1:16" ht="12.75">
      <c r="A614" s="45">
        <v>1619</v>
      </c>
      <c r="B614" s="20"/>
      <c r="C614" s="34"/>
      <c r="E614" s="34"/>
      <c r="F614" s="34">
        <f>8.9790306325423*E614</f>
        <v>0</v>
      </c>
      <c r="H614" s="36"/>
      <c r="I614" s="34"/>
      <c r="K614" s="34">
        <f>I614+J614</f>
        <v>0</v>
      </c>
      <c r="M614" s="34">
        <f>F614+L614</f>
        <v>0</v>
      </c>
      <c r="O614" s="4" t="e">
        <f>F614/M614</f>
        <v>#VALUE!</v>
      </c>
      <c r="P614" s="4" t="e">
        <f>L614/M614</f>
        <v>#VALUE!</v>
      </c>
    </row>
    <row r="615" spans="1:16" ht="12.75">
      <c r="A615" s="45">
        <v>1620</v>
      </c>
      <c r="B615" s="20"/>
      <c r="C615" s="34"/>
      <c r="E615" s="34"/>
      <c r="F615" s="34">
        <f>8.9790306325423*E615</f>
        <v>0</v>
      </c>
      <c r="H615" s="36"/>
      <c r="I615" s="34"/>
      <c r="K615" s="34">
        <f>I615+J615</f>
        <v>0</v>
      </c>
      <c r="M615" s="34">
        <f>F615+L615</f>
        <v>0</v>
      </c>
      <c r="O615" s="4" t="e">
        <f>F615/M615</f>
        <v>#VALUE!</v>
      </c>
      <c r="P615" s="4" t="e">
        <f>L615/M615</f>
        <v>#VALUE!</v>
      </c>
    </row>
    <row r="616" spans="1:16" ht="12.75">
      <c r="A616" s="45">
        <v>1621</v>
      </c>
      <c r="B616" s="20"/>
      <c r="C616" s="34"/>
      <c r="E616" s="34"/>
      <c r="F616" s="34">
        <f>8.9790306325423*E616</f>
        <v>0</v>
      </c>
      <c r="H616" s="36"/>
      <c r="I616" s="34"/>
      <c r="K616" s="34">
        <f>I616+J616</f>
        <v>0</v>
      </c>
      <c r="M616" s="34">
        <f>F616+L616</f>
        <v>0</v>
      </c>
      <c r="O616" s="4" t="e">
        <f>F616/M616</f>
        <v>#VALUE!</v>
      </c>
      <c r="P616" s="4" t="e">
        <f>L616/M616</f>
        <v>#VALUE!</v>
      </c>
    </row>
    <row r="617" spans="1:16" ht="12.75">
      <c r="A617" s="45">
        <v>1622</v>
      </c>
      <c r="B617" s="20"/>
      <c r="C617" s="34"/>
      <c r="E617" s="34"/>
      <c r="F617" s="34">
        <f>8.9790306325423*E617</f>
        <v>0</v>
      </c>
      <c r="H617" s="36"/>
      <c r="I617" s="34"/>
      <c r="K617" s="34">
        <f>I617+J617</f>
        <v>0</v>
      </c>
      <c r="M617" s="34">
        <f>F617+L617</f>
        <v>0</v>
      </c>
      <c r="O617" s="4" t="e">
        <f>F617/M617</f>
        <v>#VALUE!</v>
      </c>
      <c r="P617" s="4" t="e">
        <f>L617/M617</f>
        <v>#VALUE!</v>
      </c>
    </row>
    <row r="618" spans="1:16" ht="12.75">
      <c r="A618" s="45">
        <v>1623</v>
      </c>
      <c r="B618" s="20"/>
      <c r="C618" s="34"/>
      <c r="E618" s="34"/>
      <c r="F618" s="34">
        <f>8.9790306325423*E618</f>
        <v>0</v>
      </c>
      <c r="H618" s="36"/>
      <c r="I618" s="34"/>
      <c r="K618" s="34">
        <f>I618+J618</f>
        <v>0</v>
      </c>
      <c r="M618" s="34">
        <f>F618+L618</f>
        <v>0</v>
      </c>
      <c r="O618" s="4" t="e">
        <f>F618/M618</f>
        <v>#VALUE!</v>
      </c>
      <c r="P618" s="4" t="e">
        <f>L618/M618</f>
        <v>#VALUE!</v>
      </c>
    </row>
    <row r="619" spans="1:16" ht="12.75">
      <c r="A619" s="45">
        <v>1624</v>
      </c>
      <c r="B619" s="20"/>
      <c r="C619" s="34"/>
      <c r="E619" s="34"/>
      <c r="F619" s="34">
        <f>8.9790306325423*E619</f>
        <v>0</v>
      </c>
      <c r="H619" s="36"/>
      <c r="I619" s="34"/>
      <c r="K619" s="34">
        <f>I619+J619</f>
        <v>0</v>
      </c>
      <c r="M619" s="34">
        <f>F619+L619</f>
        <v>0</v>
      </c>
      <c r="O619" s="4" t="e">
        <f>F619/M619</f>
        <v>#VALUE!</v>
      </c>
      <c r="P619" s="4" t="e">
        <f>L619/M619</f>
        <v>#VALUE!</v>
      </c>
    </row>
    <row r="620" spans="1:16" ht="12.75">
      <c r="A620" s="45">
        <v>1625</v>
      </c>
      <c r="B620" s="20"/>
      <c r="C620" s="34"/>
      <c r="E620" s="34"/>
      <c r="F620" s="34">
        <f>8.9790306325423*E620</f>
        <v>0</v>
      </c>
      <c r="H620" s="36"/>
      <c r="I620" s="34"/>
      <c r="K620" s="34">
        <f>I620+J620</f>
        <v>0</v>
      </c>
      <c r="M620" s="34">
        <f>F620+L620</f>
        <v>0</v>
      </c>
      <c r="O620" s="4" t="e">
        <f>F620/M620</f>
        <v>#VALUE!</v>
      </c>
      <c r="P620" s="4" t="e">
        <f>L620/M620</f>
        <v>#VALUE!</v>
      </c>
    </row>
    <row r="621" spans="1:16" ht="12.75">
      <c r="A621" s="45">
        <v>1626</v>
      </c>
      <c r="B621" s="20"/>
      <c r="C621" s="34"/>
      <c r="E621" s="34"/>
      <c r="F621" s="34">
        <f>8.9790306325423*E621</f>
        <v>0</v>
      </c>
      <c r="H621" s="36"/>
      <c r="I621" s="34"/>
      <c r="K621" s="34">
        <f>I621+J621</f>
        <v>0</v>
      </c>
      <c r="M621" s="34">
        <f>F621+L621</f>
        <v>0</v>
      </c>
      <c r="O621" s="4" t="e">
        <f>F621/M621</f>
        <v>#VALUE!</v>
      </c>
      <c r="P621" s="4" t="e">
        <f>L621/M621</f>
        <v>#VALUE!</v>
      </c>
    </row>
    <row r="622" spans="1:16" ht="12.75">
      <c r="A622" s="45">
        <v>1627</v>
      </c>
      <c r="B622" s="20"/>
      <c r="C622" s="34"/>
      <c r="E622" s="34"/>
      <c r="F622" s="34">
        <f>8.9790306325423*E622</f>
        <v>0</v>
      </c>
      <c r="I622" s="34"/>
      <c r="K622" s="34">
        <f>I622+J622</f>
        <v>0</v>
      </c>
      <c r="M622" s="34">
        <f>F622+L622</f>
        <v>0</v>
      </c>
      <c r="O622" s="4" t="e">
        <f>F622/M622</f>
        <v>#VALUE!</v>
      </c>
      <c r="P622" s="4" t="e">
        <f>L622/M622</f>
        <v>#VALUE!</v>
      </c>
    </row>
    <row r="623" spans="1:16" ht="12.75">
      <c r="A623" s="45">
        <v>1628</v>
      </c>
      <c r="B623" s="20"/>
      <c r="C623" s="34"/>
      <c r="F623" s="34">
        <f>8.9790306325423*E623</f>
        <v>0</v>
      </c>
      <c r="I623" s="34"/>
      <c r="K623" s="34">
        <f>I623+J623</f>
        <v>0</v>
      </c>
      <c r="M623" s="34">
        <f>F623+L623</f>
        <v>0</v>
      </c>
      <c r="O623" s="4" t="e">
        <f>F623/M623</f>
        <v>#VALUE!</v>
      </c>
      <c r="P623" s="4" t="e">
        <f>L623/M623</f>
        <v>#VALUE!</v>
      </c>
    </row>
    <row r="624" spans="1:16" ht="12.75">
      <c r="A624" s="45">
        <v>1629</v>
      </c>
      <c r="B624" s="20"/>
      <c r="C624" s="34"/>
      <c r="F624" s="34">
        <f>8.9790306325423*E624</f>
        <v>0</v>
      </c>
      <c r="I624" s="34"/>
      <c r="K624" s="34">
        <f>I624+J624</f>
        <v>0</v>
      </c>
      <c r="M624" s="34">
        <f>F624+L624</f>
        <v>0</v>
      </c>
      <c r="O624" s="4" t="e">
        <f>F624/M624</f>
        <v>#VALUE!</v>
      </c>
      <c r="P624" s="4" t="e">
        <f>L624/M624</f>
        <v>#VALUE!</v>
      </c>
    </row>
    <row r="625" spans="1:16" ht="12.75">
      <c r="A625" s="45">
        <v>1630</v>
      </c>
      <c r="B625" s="20"/>
      <c r="C625" s="34"/>
      <c r="F625" s="34">
        <f>8.9790306325423*E625</f>
        <v>0</v>
      </c>
      <c r="I625" s="34"/>
      <c r="K625" s="34">
        <f>I625+J625</f>
        <v>0</v>
      </c>
      <c r="M625" s="34">
        <f>F625+L625</f>
        <v>0</v>
      </c>
      <c r="O625" s="4" t="e">
        <f>F625/M625</f>
        <v>#VALUE!</v>
      </c>
      <c r="P625" s="4" t="e">
        <f>L625/M625</f>
        <v>#VALUE!</v>
      </c>
    </row>
    <row r="626" spans="1:16" ht="12.75">
      <c r="A626" s="45">
        <v>1631</v>
      </c>
      <c r="B626" s="20"/>
      <c r="C626" s="34"/>
      <c r="F626" s="34">
        <f>8.9790306325423*E626</f>
        <v>0</v>
      </c>
      <c r="I626" s="34"/>
      <c r="K626" s="34">
        <f>I626+J626</f>
        <v>0</v>
      </c>
      <c r="M626" s="34">
        <f>F626+L626</f>
        <v>0</v>
      </c>
      <c r="O626" s="4" t="e">
        <f>F626/M626</f>
        <v>#VALUE!</v>
      </c>
      <c r="P626" s="4" t="e">
        <f>L626/M626</f>
        <v>#VALUE!</v>
      </c>
    </row>
    <row r="627" spans="1:16" ht="12.75">
      <c r="A627" s="45">
        <v>1632</v>
      </c>
      <c r="B627" s="20"/>
      <c r="C627" s="34"/>
      <c r="F627" s="34">
        <f>8.9790306325423*E627</f>
        <v>0</v>
      </c>
      <c r="I627" s="34"/>
      <c r="K627" s="34">
        <f>I627+J627</f>
        <v>0</v>
      </c>
      <c r="M627" s="34">
        <f>F627+L627</f>
        <v>0</v>
      </c>
      <c r="O627" s="4" t="e">
        <f>F627/M627</f>
        <v>#VALUE!</v>
      </c>
      <c r="P627" s="4" t="e">
        <f>L627/M627</f>
        <v>#VALUE!</v>
      </c>
    </row>
    <row r="628" spans="1:16" ht="12.75">
      <c r="A628" s="45">
        <v>1633</v>
      </c>
      <c r="B628" s="20"/>
      <c r="C628" s="34"/>
      <c r="F628" s="34">
        <f>8.9790306325423*E628</f>
        <v>0</v>
      </c>
      <c r="I628" s="34"/>
      <c r="K628" s="34">
        <f>I628+J628</f>
        <v>0</v>
      </c>
      <c r="M628" s="34">
        <f>F628+L628</f>
        <v>0</v>
      </c>
      <c r="O628" s="4" t="e">
        <f>F628/M628</f>
        <v>#VALUE!</v>
      </c>
      <c r="P628" s="4" t="e">
        <f>L628/M628</f>
        <v>#VALUE!</v>
      </c>
    </row>
    <row r="629" spans="1:16" ht="12.75">
      <c r="A629" s="45">
        <v>1634</v>
      </c>
      <c r="B629" s="20"/>
      <c r="C629" s="34"/>
      <c r="F629" s="34">
        <f>8.9790306325423*E629</f>
        <v>0</v>
      </c>
      <c r="I629" s="34"/>
      <c r="K629" s="34">
        <f>I629+J629</f>
        <v>0</v>
      </c>
      <c r="M629" s="34">
        <f>F629+L629</f>
        <v>0</v>
      </c>
      <c r="O629" s="4" t="e">
        <f>F629/M629</f>
        <v>#VALUE!</v>
      </c>
      <c r="P629" s="4" t="e">
        <f>L629/M629</f>
        <v>#VALUE!</v>
      </c>
    </row>
    <row r="630" spans="1:16" ht="12.75">
      <c r="A630" s="45">
        <v>1635</v>
      </c>
      <c r="B630" s="20"/>
      <c r="C630" s="34"/>
      <c r="F630" s="34">
        <f>8.9790306325423*E630</f>
        <v>0</v>
      </c>
      <c r="I630" s="34"/>
      <c r="K630" s="34">
        <f>I630+J630</f>
        <v>0</v>
      </c>
      <c r="M630" s="34">
        <f>F630+L630</f>
        <v>0</v>
      </c>
      <c r="O630" s="4" t="e">
        <f>F630/M630</f>
        <v>#VALUE!</v>
      </c>
      <c r="P630" s="4" t="e">
        <f>L630/M630</f>
        <v>#VALUE!</v>
      </c>
    </row>
    <row r="631" spans="1:16" ht="12.75">
      <c r="A631" s="45">
        <v>1636</v>
      </c>
      <c r="B631" s="20"/>
      <c r="C631" s="34"/>
      <c r="F631" s="34">
        <f>8.9790306325423*E631</f>
        <v>0</v>
      </c>
      <c r="I631" s="34"/>
      <c r="K631" s="34">
        <f>I631+J631</f>
        <v>0</v>
      </c>
      <c r="M631" s="34">
        <f>F631+L631</f>
        <v>0</v>
      </c>
      <c r="O631" s="4" t="e">
        <f>F631/M631</f>
        <v>#VALUE!</v>
      </c>
      <c r="P631" s="4" t="e">
        <f>L631/M631</f>
        <v>#VALUE!</v>
      </c>
    </row>
    <row r="632" spans="1:16" ht="12.75">
      <c r="A632" s="45">
        <v>1637</v>
      </c>
      <c r="B632" s="20"/>
      <c r="C632" s="34"/>
      <c r="F632" s="34">
        <f>8.9790306325423*E632</f>
        <v>0</v>
      </c>
      <c r="I632" s="34"/>
      <c r="K632" s="34">
        <f>I632+J632</f>
        <v>0</v>
      </c>
      <c r="M632" s="34">
        <f>F632+L632</f>
        <v>0</v>
      </c>
      <c r="O632" s="4" t="e">
        <f>F632/M632</f>
        <v>#VALUE!</v>
      </c>
      <c r="P632" s="4" t="e">
        <f>L632/M632</f>
        <v>#VALUE!</v>
      </c>
    </row>
    <row r="633" spans="1:16" ht="12.75">
      <c r="A633" s="45">
        <v>1638</v>
      </c>
      <c r="B633" s="20"/>
      <c r="C633" s="34"/>
      <c r="F633" s="34">
        <f>8.9790306325423*E633</f>
        <v>0</v>
      </c>
      <c r="I633" s="34"/>
      <c r="K633" s="34">
        <f>I633+J633</f>
        <v>0</v>
      </c>
      <c r="M633" s="34">
        <f>F633+L633</f>
        <v>0</v>
      </c>
      <c r="O633" s="4" t="e">
        <f>F633/M633</f>
        <v>#VALUE!</v>
      </c>
      <c r="P633" s="4" t="e">
        <f>L633/M633</f>
        <v>#VALUE!</v>
      </c>
    </row>
    <row r="634" spans="1:16" ht="12.75">
      <c r="A634" s="45">
        <v>1639</v>
      </c>
      <c r="B634" s="20"/>
      <c r="C634" s="34"/>
      <c r="F634" s="34">
        <f>8.9790306325423*E634</f>
        <v>0</v>
      </c>
      <c r="I634" s="34"/>
      <c r="K634" s="34">
        <f>I634+J634</f>
        <v>0</v>
      </c>
      <c r="M634" s="34">
        <f>F634+L634</f>
        <v>0</v>
      </c>
      <c r="O634" s="4" t="e">
        <f>F634/M634</f>
        <v>#VALUE!</v>
      </c>
      <c r="P634" s="4" t="e">
        <f>L634/M634</f>
        <v>#VALUE!</v>
      </c>
    </row>
    <row r="635" spans="1:16" ht="12.75">
      <c r="A635" s="45">
        <v>1640</v>
      </c>
      <c r="F635" s="34">
        <f>8.9790306325423*E635</f>
        <v>0</v>
      </c>
      <c r="I635" s="34"/>
      <c r="K635" s="34">
        <f>I635+J635</f>
        <v>0</v>
      </c>
      <c r="M635" s="34">
        <f>F635+L635</f>
        <v>0</v>
      </c>
      <c r="O635" s="4" t="e">
        <f>F635/M635</f>
        <v>#VALUE!</v>
      </c>
      <c r="P635" s="4" t="e">
        <f>L635/M635</f>
        <v>#VALUE!</v>
      </c>
    </row>
    <row r="636" spans="1:16" ht="12.75">
      <c r="A636" s="45">
        <v>1641</v>
      </c>
      <c r="F636" s="34">
        <f>8.9790306325423*E636</f>
        <v>0</v>
      </c>
      <c r="I636" s="34"/>
      <c r="K636" s="34">
        <f>I636+J636</f>
        <v>0</v>
      </c>
      <c r="M636" s="34">
        <f>F636+L636</f>
        <v>0</v>
      </c>
      <c r="O636" s="4" t="e">
        <f>F636/M636</f>
        <v>#VALUE!</v>
      </c>
      <c r="P636" s="4" t="e">
        <f>L636/M636</f>
        <v>#VALUE!</v>
      </c>
    </row>
    <row r="637" spans="1:16" ht="12.75">
      <c r="A637" s="45">
        <v>1642</v>
      </c>
      <c r="F637" s="34">
        <f>8.9790306325423*E637</f>
        <v>0</v>
      </c>
      <c r="I637" s="34"/>
      <c r="K637" s="34">
        <f>I637+J637</f>
        <v>0</v>
      </c>
      <c r="M637" s="34">
        <f>F637+L637</f>
        <v>0</v>
      </c>
      <c r="O637" s="4" t="e">
        <f>F637/M637</f>
        <v>#VALUE!</v>
      </c>
      <c r="P637" s="4" t="e">
        <f>L637/M637</f>
        <v>#VALUE!</v>
      </c>
    </row>
    <row r="638" spans="1:16" ht="12.75">
      <c r="A638" s="45">
        <v>1643</v>
      </c>
      <c r="F638" s="34">
        <f>8.9790306325423*E638</f>
        <v>0</v>
      </c>
      <c r="I638" s="34"/>
      <c r="K638" s="34">
        <f>I638+J638</f>
        <v>0</v>
      </c>
      <c r="M638" s="34">
        <f>F638+L638</f>
        <v>0</v>
      </c>
      <c r="O638" s="4" t="e">
        <f>F638/M638</f>
        <v>#VALUE!</v>
      </c>
      <c r="P638" s="4" t="e">
        <f>L638/M638</f>
        <v>#VALUE!</v>
      </c>
    </row>
    <row r="639" spans="1:16" ht="12.75">
      <c r="A639" s="45">
        <v>1644</v>
      </c>
      <c r="F639" s="34">
        <f>8.9790306325423*E639</f>
        <v>0</v>
      </c>
      <c r="I639" s="34"/>
      <c r="K639" s="34">
        <f>I639+J639</f>
        <v>0</v>
      </c>
      <c r="M639" s="34">
        <f>F639+L639</f>
        <v>0</v>
      </c>
      <c r="O639" s="4" t="e">
        <f>F639/M639</f>
        <v>#VALUE!</v>
      </c>
      <c r="P639" s="4" t="e">
        <f>L639/M639</f>
        <v>#VALUE!</v>
      </c>
    </row>
    <row r="640" spans="1:16" ht="12.75">
      <c r="A640" s="45">
        <v>1645</v>
      </c>
      <c r="F640" s="34">
        <f>8.9790306325423*E640</f>
        <v>0</v>
      </c>
      <c r="I640" s="34"/>
      <c r="K640" s="34">
        <f>I640+J640</f>
        <v>0</v>
      </c>
      <c r="M640" s="34">
        <f>F640+L640</f>
        <v>0</v>
      </c>
      <c r="O640" s="4" t="e">
        <f>F640/M640</f>
        <v>#VALUE!</v>
      </c>
      <c r="P640" s="4" t="e">
        <f>L640/M640</f>
        <v>#VALUE!</v>
      </c>
    </row>
    <row r="641" spans="1:16" ht="12.75">
      <c r="A641" s="45">
        <v>1646</v>
      </c>
      <c r="F641" s="34">
        <f>8.9790306325423*E641</f>
        <v>0</v>
      </c>
      <c r="I641" s="34"/>
      <c r="K641" s="34">
        <f>I641+J641</f>
        <v>0</v>
      </c>
      <c r="M641" s="34">
        <f>F641+L641</f>
        <v>0</v>
      </c>
      <c r="O641" s="4" t="e">
        <f>F641/M641</f>
        <v>#VALUE!</v>
      </c>
      <c r="P641" s="4" t="e">
        <f>L641/M641</f>
        <v>#VALUE!</v>
      </c>
    </row>
    <row r="642" spans="1:16" ht="12.75">
      <c r="A642" s="45">
        <v>1647</v>
      </c>
      <c r="F642" s="34">
        <f>8.9790306325423*E642</f>
        <v>0</v>
      </c>
      <c r="I642" s="34"/>
      <c r="K642" s="34">
        <f>I642+J642</f>
        <v>0</v>
      </c>
      <c r="M642" s="34">
        <f>F642+L642</f>
        <v>0</v>
      </c>
      <c r="O642" s="4" t="e">
        <f>F642/M642</f>
        <v>#VALUE!</v>
      </c>
      <c r="P642" s="4" t="e">
        <f>L642/M642</f>
        <v>#VALUE!</v>
      </c>
    </row>
    <row r="643" spans="1:16" ht="12.75">
      <c r="A643" s="45">
        <v>1648</v>
      </c>
      <c r="F643" s="34">
        <f>8.9790306325423*E643</f>
        <v>0</v>
      </c>
      <c r="I643" s="34"/>
      <c r="K643" s="34">
        <f>I643+J643</f>
        <v>0</v>
      </c>
      <c r="M643" s="34">
        <f>F643+L643</f>
        <v>0</v>
      </c>
      <c r="O643" s="4" t="e">
        <f>F643/M643</f>
        <v>#VALUE!</v>
      </c>
      <c r="P643" s="4" t="e">
        <f>L643/M643</f>
        <v>#VALUE!</v>
      </c>
    </row>
    <row r="644" spans="1:16" ht="12.75">
      <c r="A644" s="45">
        <v>1649</v>
      </c>
      <c r="F644" s="34">
        <f>8.9790306325423*E644</f>
        <v>0</v>
      </c>
      <c r="I644" s="34"/>
      <c r="K644" s="34">
        <f>I644+J644</f>
        <v>0</v>
      </c>
      <c r="M644" s="34">
        <f>F644+L644</f>
        <v>0</v>
      </c>
      <c r="O644" s="4" t="e">
        <f>F644/M644</f>
        <v>#VALUE!</v>
      </c>
      <c r="P644" s="4" t="e">
        <f>L644/M644</f>
        <v>#VALUE!</v>
      </c>
    </row>
    <row r="645" spans="1:16" ht="12.75">
      <c r="A645" s="45">
        <v>1650</v>
      </c>
      <c r="F645" s="34">
        <f>8.9790306325423*E645</f>
        <v>0</v>
      </c>
      <c r="I645" s="34"/>
      <c r="K645" s="34">
        <f>I645+J645</f>
        <v>0</v>
      </c>
      <c r="M645" s="34">
        <f>F645+L645</f>
        <v>0</v>
      </c>
      <c r="O645" s="4" t="e">
        <f>F645/M645</f>
        <v>#VALUE!</v>
      </c>
      <c r="P645" s="4" t="e">
        <f>L645/M645</f>
        <v>#VALUE!</v>
      </c>
    </row>
    <row r="646" spans="1:16" ht="12.75">
      <c r="A646" s="45">
        <v>1651</v>
      </c>
      <c r="F646" s="34">
        <f>8.9790306325423*E646</f>
        <v>0</v>
      </c>
      <c r="I646" s="34"/>
      <c r="K646" s="34">
        <f>I646+J646</f>
        <v>0</v>
      </c>
      <c r="M646" s="34">
        <f>F646+L646</f>
        <v>0</v>
      </c>
      <c r="O646" s="4" t="e">
        <f>F646/M646</f>
        <v>#VALUE!</v>
      </c>
      <c r="P646" s="4" t="e">
        <f>L646/M646</f>
        <v>#VALUE!</v>
      </c>
    </row>
    <row r="647" spans="1:16" ht="12.75">
      <c r="A647" s="45">
        <v>1652</v>
      </c>
      <c r="F647" s="34">
        <f>8.9790306325423*E647</f>
        <v>0</v>
      </c>
      <c r="I647" s="34"/>
      <c r="K647" s="34">
        <f>I647+J647</f>
        <v>0</v>
      </c>
      <c r="M647" s="34">
        <f>F647+L647</f>
        <v>0</v>
      </c>
      <c r="O647" s="4" t="e">
        <f>F647/M647</f>
        <v>#VALUE!</v>
      </c>
      <c r="P647" s="4" t="e">
        <f>L647/M647</f>
        <v>#VALUE!</v>
      </c>
    </row>
    <row r="648" spans="1:16" ht="12.75">
      <c r="A648" s="45">
        <v>1653</v>
      </c>
      <c r="F648" s="34">
        <f>8.9790306325423*E648</f>
        <v>0</v>
      </c>
      <c r="I648" s="34"/>
      <c r="K648" s="34">
        <f>I648+J648</f>
        <v>0</v>
      </c>
      <c r="M648" s="34">
        <f>F648+L648</f>
        <v>0</v>
      </c>
      <c r="O648" s="4" t="e">
        <f>F648/M648</f>
        <v>#VALUE!</v>
      </c>
      <c r="P648" s="4" t="e">
        <f>L648/M648</f>
        <v>#VALUE!</v>
      </c>
    </row>
    <row r="649" spans="1:16" ht="12.75">
      <c r="A649" s="45">
        <v>1654</v>
      </c>
      <c r="F649" s="34">
        <f>8.9790306325423*E649</f>
        <v>0</v>
      </c>
      <c r="I649" s="34"/>
      <c r="K649" s="34">
        <f>I649+J649</f>
        <v>0</v>
      </c>
      <c r="M649" s="34">
        <f>F649+L649</f>
        <v>0</v>
      </c>
      <c r="O649" s="4" t="e">
        <f>F649/M649</f>
        <v>#VALUE!</v>
      </c>
      <c r="P649" s="4" t="e">
        <f>L649/M649</f>
        <v>#VALUE!</v>
      </c>
    </row>
    <row r="650" spans="1:16" ht="12.75">
      <c r="A650" s="45">
        <v>1655</v>
      </c>
      <c r="F650" s="34">
        <f>8.9790306325423*E650</f>
        <v>0</v>
      </c>
      <c r="I650" s="34"/>
      <c r="K650" s="34">
        <f>I650+J650</f>
        <v>0</v>
      </c>
      <c r="M650" s="34">
        <f>F650+L650</f>
        <v>0</v>
      </c>
      <c r="O650" s="4" t="e">
        <f>F650/M650</f>
        <v>#VALUE!</v>
      </c>
      <c r="P650" s="4" t="e">
        <f>L650/M650</f>
        <v>#VALUE!</v>
      </c>
    </row>
    <row r="651" spans="1:16" ht="12.75">
      <c r="A651" s="45">
        <v>1656</v>
      </c>
      <c r="F651" s="34">
        <f>8.9790306325423*E651</f>
        <v>0</v>
      </c>
      <c r="I651" s="34"/>
      <c r="K651" s="34">
        <f>I651+J651</f>
        <v>0</v>
      </c>
      <c r="M651" s="34">
        <f>F651+L651</f>
        <v>0</v>
      </c>
      <c r="O651" s="4" t="e">
        <f>F651/M651</f>
        <v>#VALUE!</v>
      </c>
      <c r="P651" s="4" t="e">
        <f>L651/M651</f>
        <v>#VALUE!</v>
      </c>
    </row>
    <row r="652" spans="1:16" ht="12.75">
      <c r="A652" s="45">
        <v>1657</v>
      </c>
      <c r="F652" s="34">
        <f>8.9790306325423*E652</f>
        <v>0</v>
      </c>
      <c r="I652" s="34"/>
      <c r="K652" s="34">
        <f>I652+J652</f>
        <v>0</v>
      </c>
      <c r="M652" s="34">
        <f>F652+L652</f>
        <v>0</v>
      </c>
      <c r="O652" s="4" t="e">
        <f>F652/M652</f>
        <v>#VALUE!</v>
      </c>
      <c r="P652" s="4" t="e">
        <f>L652/M652</f>
        <v>#VALUE!</v>
      </c>
    </row>
    <row r="653" spans="1:16" ht="12.75">
      <c r="A653" s="45">
        <v>1658</v>
      </c>
      <c r="F653" s="34">
        <f>8.9790306325423*E653</f>
        <v>0</v>
      </c>
      <c r="I653" s="34"/>
      <c r="K653" s="34">
        <f>I653+J653</f>
        <v>0</v>
      </c>
      <c r="M653" s="34">
        <f>F653+L653</f>
        <v>0</v>
      </c>
      <c r="O653" s="4" t="e">
        <f>F653/M653</f>
        <v>#VALUE!</v>
      </c>
      <c r="P653" s="4" t="e">
        <f>L653/M653</f>
        <v>#VALUE!</v>
      </c>
    </row>
    <row r="654" spans="1:16" ht="12.75">
      <c r="A654" s="45">
        <v>1659</v>
      </c>
      <c r="F654" s="34">
        <f>8.9790306325423*E654</f>
        <v>0</v>
      </c>
      <c r="I654" s="34"/>
      <c r="K654" s="34">
        <f>I654+J654</f>
        <v>0</v>
      </c>
      <c r="M654" s="34">
        <f>F654+L654</f>
        <v>0</v>
      </c>
      <c r="O654" s="4" t="e">
        <f>F654/M654</f>
        <v>#VALUE!</v>
      </c>
      <c r="P654" s="4" t="e">
        <f>L654/M654</f>
        <v>#VALUE!</v>
      </c>
    </row>
    <row r="655" spans="1:16" ht="12.75">
      <c r="A655" s="45">
        <v>1660</v>
      </c>
      <c r="F655" s="34">
        <f>8.9790306325423*E655</f>
        <v>0</v>
      </c>
      <c r="I655" s="34"/>
      <c r="K655" s="34">
        <f>I655+J655</f>
        <v>0</v>
      </c>
      <c r="M655" s="34">
        <f>F655+L655</f>
        <v>0</v>
      </c>
      <c r="O655" s="4" t="e">
        <f>F655/M655</f>
        <v>#VALUE!</v>
      </c>
      <c r="P655" s="4" t="e">
        <f>L655/M655</f>
        <v>#VALUE!</v>
      </c>
    </row>
    <row r="656" spans="1:16" ht="12.75">
      <c r="A656" s="45">
        <v>1661</v>
      </c>
      <c r="F656" s="34">
        <f>8.9790306325423*E656</f>
        <v>0</v>
      </c>
      <c r="I656" s="34"/>
      <c r="K656" s="34">
        <f>I656+J656</f>
        <v>0</v>
      </c>
      <c r="M656" s="34">
        <f>F656+L656</f>
        <v>0</v>
      </c>
      <c r="O656" s="4" t="e">
        <f>F656/M656</f>
        <v>#VALUE!</v>
      </c>
      <c r="P656" s="4" t="e">
        <f>L656/M656</f>
        <v>#VALUE!</v>
      </c>
    </row>
    <row r="657" spans="1:16" ht="12.75">
      <c r="A657" s="45">
        <v>1662</v>
      </c>
      <c r="F657" s="34">
        <f>8.9790306325423*E657</f>
        <v>0</v>
      </c>
      <c r="I657" s="34"/>
      <c r="K657" s="34">
        <f>I657+J657</f>
        <v>0</v>
      </c>
      <c r="M657" s="34">
        <f>F657+L657</f>
        <v>0</v>
      </c>
      <c r="O657" s="4" t="e">
        <f>F657/M657</f>
        <v>#VALUE!</v>
      </c>
      <c r="P657" s="4" t="e">
        <f>L657/M657</f>
        <v>#VALUE!</v>
      </c>
    </row>
    <row r="658" spans="1:16" ht="12.75">
      <c r="A658" s="45">
        <v>1663</v>
      </c>
      <c r="F658" s="34">
        <f>8.9790306325423*E658</f>
        <v>0</v>
      </c>
      <c r="I658" s="34"/>
      <c r="K658" s="34">
        <f>I658+J658</f>
        <v>0</v>
      </c>
      <c r="M658" s="34">
        <f>F658+L658</f>
        <v>0</v>
      </c>
      <c r="O658" s="4" t="e">
        <f>F658/M658</f>
        <v>#VALUE!</v>
      </c>
      <c r="P658" s="4" t="e">
        <f>L658/M658</f>
        <v>#VALUE!</v>
      </c>
    </row>
    <row r="659" spans="1:16" ht="12.75">
      <c r="A659" s="45">
        <v>1664</v>
      </c>
      <c r="F659" s="34">
        <f>8.9790306325423*E659</f>
        <v>0</v>
      </c>
      <c r="I659" s="34"/>
      <c r="K659" s="34">
        <f>I659+J659</f>
        <v>0</v>
      </c>
      <c r="M659" s="34">
        <f>F659+L659</f>
        <v>0</v>
      </c>
      <c r="O659" s="4" t="e">
        <f>F659/M659</f>
        <v>#VALUE!</v>
      </c>
      <c r="P659" s="4" t="e">
        <f>L659/M659</f>
        <v>#VALUE!</v>
      </c>
    </row>
    <row r="660" spans="1:16" ht="12.75">
      <c r="A660" s="45">
        <v>1665</v>
      </c>
      <c r="F660" s="34">
        <f>8.9790306325423*E660</f>
        <v>0</v>
      </c>
      <c r="I660" s="34"/>
      <c r="K660" s="34">
        <f>I660+J660</f>
        <v>0</v>
      </c>
      <c r="M660" s="34">
        <f>F660+L660</f>
        <v>0</v>
      </c>
      <c r="O660" s="4" t="e">
        <f>F660/M660</f>
        <v>#VALUE!</v>
      </c>
      <c r="P660" s="4" t="e">
        <f>L660/M660</f>
        <v>#VALUE!</v>
      </c>
    </row>
    <row r="661" spans="1:16" ht="12.75">
      <c r="A661" s="45">
        <v>1666</v>
      </c>
      <c r="F661" s="34">
        <f>8.9790306325423*E661</f>
        <v>0</v>
      </c>
      <c r="I661" s="34"/>
      <c r="K661" s="34">
        <f>I661+J661</f>
        <v>0</v>
      </c>
      <c r="M661" s="34">
        <f>F661+L661</f>
        <v>0</v>
      </c>
      <c r="O661" s="4" t="e">
        <f>F661/M661</f>
        <v>#VALUE!</v>
      </c>
      <c r="P661" s="4" t="e">
        <f>L661/M661</f>
        <v>#VALUE!</v>
      </c>
    </row>
    <row r="662" spans="1:16" ht="12.75">
      <c r="A662" s="45">
        <v>1667</v>
      </c>
      <c r="F662" s="34">
        <f>8.9790306325423*E662</f>
        <v>0</v>
      </c>
      <c r="I662" s="34"/>
      <c r="K662" s="34">
        <f>I662+J662</f>
        <v>0</v>
      </c>
      <c r="M662" s="34">
        <f>F662+L662</f>
        <v>0</v>
      </c>
      <c r="O662" s="4" t="e">
        <f>F662/M662</f>
        <v>#VALUE!</v>
      </c>
      <c r="P662" s="4" t="e">
        <f>L662/M662</f>
        <v>#VALUE!</v>
      </c>
    </row>
    <row r="663" spans="1:16" ht="12.75">
      <c r="A663" s="45">
        <v>1668</v>
      </c>
      <c r="F663" s="34">
        <f>8.9790306325423*E663</f>
        <v>0</v>
      </c>
      <c r="I663" s="34"/>
      <c r="K663" s="34">
        <f>I663+J663</f>
        <v>0</v>
      </c>
      <c r="M663" s="34">
        <f>F663+L663</f>
        <v>0</v>
      </c>
      <c r="O663" s="4" t="e">
        <f>F663/M663</f>
        <v>#VALUE!</v>
      </c>
      <c r="P663" s="4" t="e">
        <f>L663/M663</f>
        <v>#VALUE!</v>
      </c>
    </row>
    <row r="664" spans="1:16" ht="12.75">
      <c r="A664" s="45">
        <v>1669</v>
      </c>
      <c r="F664" s="34">
        <f>8.9790306325423*E664</f>
        <v>0</v>
      </c>
      <c r="I664" s="34"/>
      <c r="K664" s="34">
        <f>I664+J664</f>
        <v>0</v>
      </c>
      <c r="M664" s="34">
        <f>F664+L664</f>
        <v>0</v>
      </c>
      <c r="O664" s="4" t="e">
        <f>F664/M664</f>
        <v>#VALUE!</v>
      </c>
      <c r="P664" s="4" t="e">
        <f>L664/M664</f>
        <v>#VALUE!</v>
      </c>
    </row>
    <row r="665" spans="1:16" ht="12.75">
      <c r="A665" s="45">
        <v>1670</v>
      </c>
      <c r="F665" s="34">
        <f>8.9790306325423*E665</f>
        <v>0</v>
      </c>
      <c r="I665" s="34"/>
      <c r="K665" s="34">
        <f>I665+J665</f>
        <v>0</v>
      </c>
      <c r="M665" s="34">
        <f>F665+L665</f>
        <v>0</v>
      </c>
      <c r="O665" s="4" t="e">
        <f>F665/M665</f>
        <v>#VALUE!</v>
      </c>
      <c r="P665" s="4" t="e">
        <f>L665/M665</f>
        <v>#VALUE!</v>
      </c>
    </row>
    <row r="666" spans="1:16" ht="12.75">
      <c r="A666" s="45">
        <v>1671</v>
      </c>
      <c r="F666" s="34">
        <f>8.9790306325423*E666</f>
        <v>0</v>
      </c>
      <c r="I666" s="34"/>
      <c r="K666" s="34">
        <f>I666+J666</f>
        <v>0</v>
      </c>
      <c r="M666" s="34">
        <f>F666+L666</f>
        <v>0</v>
      </c>
      <c r="O666" s="4" t="e">
        <f>F666/M666</f>
        <v>#VALUE!</v>
      </c>
      <c r="P666" s="4" t="e">
        <f>L666/M666</f>
        <v>#VALUE!</v>
      </c>
    </row>
    <row r="667" spans="1:16" ht="12.75">
      <c r="A667" s="45">
        <v>1672</v>
      </c>
      <c r="F667" s="34">
        <f>8.9790306325423*E667</f>
        <v>0</v>
      </c>
      <c r="I667" s="34"/>
      <c r="K667" s="34">
        <f>I667+J667</f>
        <v>0</v>
      </c>
      <c r="M667" s="34">
        <f>F667+L667</f>
        <v>0</v>
      </c>
      <c r="O667" s="4" t="e">
        <f>F667/M667</f>
        <v>#VALUE!</v>
      </c>
      <c r="P667" s="4" t="e">
        <f>L667/M667</f>
        <v>#VALUE!</v>
      </c>
    </row>
    <row r="668" spans="1:16" ht="12.75">
      <c r="A668" s="45">
        <v>1673</v>
      </c>
      <c r="F668" s="34">
        <f>8.9790306325423*E668</f>
        <v>0</v>
      </c>
      <c r="I668" s="34"/>
      <c r="K668" s="34">
        <f>I668+J668</f>
        <v>0</v>
      </c>
      <c r="M668" s="34">
        <f>F668+L668</f>
        <v>0</v>
      </c>
      <c r="O668" s="4" t="e">
        <f>F668/M668</f>
        <v>#VALUE!</v>
      </c>
      <c r="P668" s="4" t="e">
        <f>L668/M668</f>
        <v>#VALUE!</v>
      </c>
    </row>
    <row r="669" spans="1:16" ht="12.75">
      <c r="A669" s="45">
        <v>1674</v>
      </c>
      <c r="F669" s="34">
        <f>8.9790306325423*E669</f>
        <v>0</v>
      </c>
      <c r="I669" s="34"/>
      <c r="K669" s="34">
        <f>I669+J669</f>
        <v>0</v>
      </c>
      <c r="M669" s="34">
        <f>F669+L669</f>
        <v>0</v>
      </c>
      <c r="O669" s="4" t="e">
        <f>F669/M669</f>
        <v>#VALUE!</v>
      </c>
      <c r="P669" s="4" t="e">
        <f>L669/M669</f>
        <v>#VALUE!</v>
      </c>
    </row>
    <row r="670" spans="1:16" ht="12.75">
      <c r="A670" s="45">
        <v>1675</v>
      </c>
      <c r="F670" s="34">
        <f>8.9790306325423*E670</f>
        <v>0</v>
      </c>
      <c r="I670" s="34"/>
      <c r="K670" s="34">
        <f>I670+J670</f>
        <v>0</v>
      </c>
      <c r="M670" s="34">
        <f>F670+L670</f>
        <v>0</v>
      </c>
      <c r="O670" s="4" t="e">
        <f>F670/M670</f>
        <v>#VALUE!</v>
      </c>
      <c r="P670" s="4" t="e">
        <f>L670/M670</f>
        <v>#VALUE!</v>
      </c>
    </row>
    <row r="671" spans="1:16" ht="12.75">
      <c r="A671" s="45">
        <v>1676</v>
      </c>
      <c r="F671" s="34">
        <f>8.9790306325423*E671</f>
        <v>0</v>
      </c>
      <c r="I671" s="34"/>
      <c r="K671" s="34">
        <f>I671+J671</f>
        <v>0</v>
      </c>
      <c r="M671" s="34">
        <f>F671+L671</f>
        <v>0</v>
      </c>
      <c r="O671" s="4" t="e">
        <f>F671/M671</f>
        <v>#VALUE!</v>
      </c>
      <c r="P671" s="4" t="e">
        <f>L671/M671</f>
        <v>#VALUE!</v>
      </c>
    </row>
    <row r="672" spans="1:16" ht="12.75">
      <c r="A672" s="45">
        <v>1677</v>
      </c>
      <c r="F672" s="34">
        <f>8.9790306325423*E672</f>
        <v>0</v>
      </c>
      <c r="I672" s="34"/>
      <c r="K672" s="34">
        <f>I672+J672</f>
        <v>0</v>
      </c>
      <c r="M672" s="34">
        <f>F672+L672</f>
        <v>0</v>
      </c>
      <c r="O672" s="4" t="e">
        <f>F672/M672</f>
        <v>#VALUE!</v>
      </c>
      <c r="P672" s="4" t="e">
        <f>L672/M672</f>
        <v>#VALUE!</v>
      </c>
    </row>
    <row r="673" spans="1:16" ht="12.75">
      <c r="A673" s="45">
        <v>1678</v>
      </c>
      <c r="F673" s="34">
        <f>8.9790306325423*E673</f>
        <v>0</v>
      </c>
      <c r="I673" s="34"/>
      <c r="K673" s="34">
        <f>I673+J673</f>
        <v>0</v>
      </c>
      <c r="M673" s="34">
        <f>F673+L673</f>
        <v>0</v>
      </c>
      <c r="O673" s="4" t="e">
        <f>F673/M673</f>
        <v>#VALUE!</v>
      </c>
      <c r="P673" s="4" t="e">
        <f>L673/M673</f>
        <v>#VALUE!</v>
      </c>
    </row>
    <row r="674" spans="1:16" ht="12.75">
      <c r="A674" s="45">
        <v>1679</v>
      </c>
      <c r="F674" s="34">
        <f>8.9790306325423*E674</f>
        <v>0</v>
      </c>
      <c r="I674" s="34"/>
      <c r="K674" s="34">
        <f>I674+J674</f>
        <v>0</v>
      </c>
      <c r="M674" s="34">
        <f>F674+L674</f>
        <v>0</v>
      </c>
      <c r="O674" s="4" t="e">
        <f>F674/M674</f>
        <v>#VALUE!</v>
      </c>
      <c r="P674" s="4" t="e">
        <f>L674/M674</f>
        <v>#VALUE!</v>
      </c>
    </row>
    <row r="675" spans="1:16" ht="12.75">
      <c r="A675" s="45">
        <v>1680</v>
      </c>
      <c r="F675" s="34">
        <f>8.9790306325423*E675</f>
        <v>0</v>
      </c>
      <c r="I675" s="34"/>
      <c r="K675" s="34">
        <f>I675+J675</f>
        <v>0</v>
      </c>
      <c r="M675" s="34">
        <f>F675+L675</f>
        <v>0</v>
      </c>
      <c r="O675" s="4" t="e">
        <f>F675/M675</f>
        <v>#VALUE!</v>
      </c>
      <c r="P675" s="4" t="e">
        <f>L675/M675</f>
        <v>#VALUE!</v>
      </c>
    </row>
    <row r="676" spans="1:16" ht="12.75">
      <c r="A676" s="45">
        <v>1681</v>
      </c>
      <c r="F676" s="34">
        <f>8.9790306325423*E676</f>
        <v>0</v>
      </c>
      <c r="I676" s="34"/>
      <c r="K676" s="34">
        <f>I676+J676</f>
        <v>0</v>
      </c>
      <c r="M676" s="34">
        <f>F676+L676</f>
        <v>0</v>
      </c>
      <c r="O676" s="4" t="e">
        <f>F676/M676</f>
        <v>#VALUE!</v>
      </c>
      <c r="P676" s="4" t="e">
        <f>L676/M676</f>
        <v>#VALUE!</v>
      </c>
    </row>
    <row r="677" spans="1:16" ht="12.75">
      <c r="A677" s="45">
        <v>1682</v>
      </c>
      <c r="F677" s="34">
        <f>8.9790306325423*E677</f>
        <v>0</v>
      </c>
      <c r="I677" s="34"/>
      <c r="K677" s="34">
        <f>I677+J677</f>
        <v>0</v>
      </c>
      <c r="M677" s="34">
        <f>F677+L677</f>
        <v>0</v>
      </c>
      <c r="O677" s="4" t="e">
        <f>F677/M677</f>
        <v>#VALUE!</v>
      </c>
      <c r="P677" s="4" t="e">
        <f>L677/M677</f>
        <v>#VALUE!</v>
      </c>
    </row>
    <row r="678" spans="1:16" ht="12.75">
      <c r="A678" s="45">
        <v>1683</v>
      </c>
      <c r="F678" s="34">
        <f>8.9790306325423*E678</f>
        <v>0</v>
      </c>
      <c r="I678" s="34"/>
      <c r="K678" s="34">
        <f>I678+J678</f>
        <v>0</v>
      </c>
      <c r="M678" s="34">
        <f>F678+L678</f>
        <v>0</v>
      </c>
      <c r="O678" s="4" t="e">
        <f>F678/M678</f>
        <v>#VALUE!</v>
      </c>
      <c r="P678" s="4" t="e">
        <f>L678/M678</f>
        <v>#VALUE!</v>
      </c>
    </row>
    <row r="679" spans="1:16" ht="12.75">
      <c r="A679" s="45">
        <v>1684</v>
      </c>
      <c r="F679" s="34">
        <f>8.9790306325423*E679</f>
        <v>0</v>
      </c>
      <c r="I679" s="34"/>
      <c r="K679" s="34">
        <f>I679+J679</f>
        <v>0</v>
      </c>
      <c r="M679" s="34">
        <f>F679+L679</f>
        <v>0</v>
      </c>
      <c r="O679" s="4" t="e">
        <f>F679/M679</f>
        <v>#VALUE!</v>
      </c>
      <c r="P679" s="4" t="e">
        <f>L679/M679</f>
        <v>#VALUE!</v>
      </c>
    </row>
    <row r="680" spans="1:16" ht="12.75">
      <c r="A680" s="45">
        <v>1685</v>
      </c>
      <c r="F680" s="34">
        <f>8.9790306325423*E680</f>
        <v>0</v>
      </c>
      <c r="I680" s="34"/>
      <c r="K680" s="34">
        <f>I680+J680</f>
        <v>0</v>
      </c>
      <c r="M680" s="34">
        <f>F680+L680</f>
        <v>0</v>
      </c>
      <c r="O680" s="4" t="e">
        <f>F680/M680</f>
        <v>#VALUE!</v>
      </c>
      <c r="P680" s="4" t="e">
        <f>L680/M680</f>
        <v>#VALUE!</v>
      </c>
    </row>
    <row r="681" spans="1:16" ht="12.75">
      <c r="A681" s="45">
        <v>1686</v>
      </c>
      <c r="F681" s="34">
        <f>8.9790306325423*E681</f>
        <v>0</v>
      </c>
      <c r="I681" s="34"/>
      <c r="K681" s="34">
        <f>I681+J681</f>
        <v>0</v>
      </c>
      <c r="M681" s="34">
        <f>F681+L681</f>
        <v>0</v>
      </c>
      <c r="O681" s="4" t="e">
        <f>F681/M681</f>
        <v>#VALUE!</v>
      </c>
      <c r="P681" s="4" t="e">
        <f>L681/M681</f>
        <v>#VALUE!</v>
      </c>
    </row>
    <row r="682" spans="1:16" ht="12.75">
      <c r="A682" s="45">
        <v>1687</v>
      </c>
      <c r="F682" s="34">
        <f>8.9790306325423*E682</f>
        <v>0</v>
      </c>
      <c r="I682" s="34"/>
      <c r="K682" s="34">
        <f>I682+J682</f>
        <v>0</v>
      </c>
      <c r="M682" s="34">
        <f>F682+L682</f>
        <v>0</v>
      </c>
      <c r="O682" s="4" t="e">
        <f>F682/M682</f>
        <v>#VALUE!</v>
      </c>
      <c r="P682" s="4" t="e">
        <f>L682/M682</f>
        <v>#VALUE!</v>
      </c>
    </row>
    <row r="683" spans="1:16" ht="12.75">
      <c r="A683" s="45">
        <v>1688</v>
      </c>
      <c r="F683" s="34">
        <f>8.9790306325423*E683</f>
        <v>0</v>
      </c>
      <c r="I683" s="34"/>
      <c r="K683" s="34">
        <f>I683+J683</f>
        <v>0</v>
      </c>
      <c r="M683" s="34">
        <f>F683+L683</f>
        <v>0</v>
      </c>
      <c r="O683" s="4" t="e">
        <f>F683/M683</f>
        <v>#VALUE!</v>
      </c>
      <c r="P683" s="4" t="e">
        <f>L683/M683</f>
        <v>#VALUE!</v>
      </c>
    </row>
    <row r="684" spans="1:16" ht="12.75">
      <c r="A684" s="45">
        <v>1689</v>
      </c>
      <c r="F684" s="34">
        <f>8.9790306325423*E684</f>
        <v>0</v>
      </c>
      <c r="I684" s="34"/>
      <c r="K684" s="34">
        <f>I684+J684</f>
        <v>0</v>
      </c>
      <c r="M684" s="34">
        <f>F684+L684</f>
        <v>0</v>
      </c>
      <c r="O684" s="4" t="e">
        <f>F684/M684</f>
        <v>#VALUE!</v>
      </c>
      <c r="P684" s="4" t="e">
        <f>L684/M684</f>
        <v>#VALUE!</v>
      </c>
    </row>
    <row r="685" spans="1:16" ht="12.75">
      <c r="A685" s="45">
        <v>1690</v>
      </c>
      <c r="F685" s="34">
        <f>8.9790306325423*E685</f>
        <v>0</v>
      </c>
      <c r="I685" s="34"/>
      <c r="K685" s="34">
        <f>I685+J685</f>
        <v>0</v>
      </c>
      <c r="M685" s="34">
        <f>F685+L685</f>
        <v>0</v>
      </c>
      <c r="O685" s="4" t="e">
        <f>F685/M685</f>
        <v>#VALUE!</v>
      </c>
      <c r="P685" s="4" t="e">
        <f>L685/M685</f>
        <v>#VALUE!</v>
      </c>
    </row>
    <row r="686" spans="1:16" ht="12.75">
      <c r="A686" s="45">
        <v>1691</v>
      </c>
      <c r="F686" s="34">
        <f>8.9790306325423*E686</f>
        <v>0</v>
      </c>
      <c r="I686" s="34"/>
      <c r="K686" s="34">
        <f>I686+J686</f>
        <v>0</v>
      </c>
      <c r="M686" s="34">
        <f>F686+L686</f>
        <v>0</v>
      </c>
      <c r="O686" s="4" t="e">
        <f>F686/M686</f>
        <v>#VALUE!</v>
      </c>
      <c r="P686" s="4" t="e">
        <f>L686/M686</f>
        <v>#VALUE!</v>
      </c>
    </row>
    <row r="687" spans="1:16" ht="12.75">
      <c r="A687" s="45">
        <v>1692</v>
      </c>
      <c r="F687" s="34">
        <f>8.9790306325423*E687</f>
        <v>0</v>
      </c>
      <c r="I687" s="34"/>
      <c r="K687" s="34">
        <f>I687+J687</f>
        <v>0</v>
      </c>
      <c r="M687" s="34">
        <f>F687+L687</f>
        <v>0</v>
      </c>
      <c r="O687" s="4" t="e">
        <f>F687/M687</f>
        <v>#VALUE!</v>
      </c>
      <c r="P687" s="4" t="e">
        <f>L687/M687</f>
        <v>#VALUE!</v>
      </c>
    </row>
    <row r="688" spans="1:16" ht="12.75">
      <c r="A688" s="45">
        <v>1693</v>
      </c>
      <c r="F688" s="34">
        <f>8.9790306325423*E688</f>
        <v>0</v>
      </c>
      <c r="I688" s="34"/>
      <c r="K688" s="34">
        <f>I688+J688</f>
        <v>0</v>
      </c>
      <c r="M688" s="34">
        <f>F688+L688</f>
        <v>0</v>
      </c>
      <c r="O688" s="4" t="e">
        <f>F688/M688</f>
        <v>#VALUE!</v>
      </c>
      <c r="P688" s="4" t="e">
        <f>L688/M688</f>
        <v>#VALUE!</v>
      </c>
    </row>
    <row r="689" spans="1:16" ht="12.75">
      <c r="A689" s="45">
        <v>1694</v>
      </c>
      <c r="F689" s="34">
        <f>8.9790306325423*E689</f>
        <v>0</v>
      </c>
      <c r="I689" s="34"/>
      <c r="K689" s="34">
        <f>I689+J689</f>
        <v>0</v>
      </c>
      <c r="M689" s="34">
        <f>F689+L689</f>
        <v>0</v>
      </c>
      <c r="O689" s="4" t="e">
        <f>F689/M689</f>
        <v>#VALUE!</v>
      </c>
      <c r="P689" s="4" t="e">
        <f>L689/M689</f>
        <v>#VALUE!</v>
      </c>
    </row>
    <row r="690" spans="1:16" ht="12.75">
      <c r="A690" s="45">
        <v>1695</v>
      </c>
      <c r="F690" s="34">
        <f>8.9790306325423*E690</f>
        <v>0</v>
      </c>
      <c r="I690" s="34"/>
      <c r="K690" s="34">
        <f>I690+J690</f>
        <v>0</v>
      </c>
      <c r="M690" s="34">
        <f>F690+L690</f>
        <v>0</v>
      </c>
      <c r="O690" s="4" t="e">
        <f>F690/M690</f>
        <v>#VALUE!</v>
      </c>
      <c r="P690" s="4" t="e">
        <f>L690/M690</f>
        <v>#VALUE!</v>
      </c>
    </row>
    <row r="691" spans="1:16" ht="12.75">
      <c r="A691" s="45">
        <v>1696</v>
      </c>
      <c r="F691" s="34">
        <f>8.9790306325423*E691</f>
        <v>0</v>
      </c>
      <c r="I691" s="34"/>
      <c r="K691" s="34">
        <f>I691+J691</f>
        <v>0</v>
      </c>
      <c r="M691" s="34">
        <f>F691+L691</f>
        <v>0</v>
      </c>
      <c r="O691" s="4" t="e">
        <f>F691/M691</f>
        <v>#VALUE!</v>
      </c>
      <c r="P691" s="4" t="e">
        <f>L691/M691</f>
        <v>#VALUE!</v>
      </c>
    </row>
    <row r="692" spans="1:16" ht="12.75">
      <c r="A692" s="45">
        <v>1697</v>
      </c>
      <c r="F692" s="34">
        <f>8.9790306325423*E692</f>
        <v>0</v>
      </c>
      <c r="I692" s="34"/>
      <c r="K692" s="34">
        <f>I692+J692</f>
        <v>0</v>
      </c>
      <c r="M692" s="34">
        <f>F692+L692</f>
        <v>0</v>
      </c>
      <c r="O692" s="4" t="e">
        <f>F692/M692</f>
        <v>#VALUE!</v>
      </c>
      <c r="P692" s="4" t="e">
        <f>L692/M692</f>
        <v>#VALUE!</v>
      </c>
    </row>
    <row r="693" spans="1:16" ht="12.75">
      <c r="A693" s="45">
        <v>1698</v>
      </c>
      <c r="F693" s="34">
        <f>8.9790306325423*E693</f>
        <v>0</v>
      </c>
      <c r="I693" s="34"/>
      <c r="K693" s="34">
        <f>I693+J693</f>
        <v>0</v>
      </c>
      <c r="M693" s="34">
        <f>F693+L693</f>
        <v>0</v>
      </c>
      <c r="O693" s="4" t="e">
        <f>F693/M693</f>
        <v>#VALUE!</v>
      </c>
      <c r="P693" s="4" t="e">
        <f>L693/M693</f>
        <v>#VALUE!</v>
      </c>
    </row>
    <row r="694" spans="1:16" ht="12.75">
      <c r="A694" s="45">
        <v>1699</v>
      </c>
      <c r="F694" s="34">
        <f>8.9790306325423*E694</f>
        <v>0</v>
      </c>
      <c r="I694" s="34"/>
      <c r="K694" s="34">
        <f>I694+J694</f>
        <v>0</v>
      </c>
      <c r="M694" s="34">
        <f>F694+L694</f>
        <v>0</v>
      </c>
      <c r="O694" s="4" t="e">
        <f>F694/M694</f>
        <v>#VALUE!</v>
      </c>
      <c r="P694" s="4" t="e">
        <f>L694/M694</f>
        <v>#VALUE!</v>
      </c>
    </row>
    <row r="695" spans="1:16" ht="12.75">
      <c r="A695" s="45">
        <v>1700</v>
      </c>
      <c r="F695" s="34">
        <f>8.9790306325423*E695</f>
        <v>0</v>
      </c>
      <c r="I695" s="34"/>
      <c r="K695" s="34">
        <f>I695+J695</f>
        <v>0</v>
      </c>
      <c r="M695" s="34">
        <f>F695+L695</f>
        <v>0</v>
      </c>
      <c r="O695" s="4" t="e">
        <f>F695/M695</f>
        <v>#VALUE!</v>
      </c>
      <c r="P695" s="4" t="e">
        <f>L695/M695</f>
        <v>#VALUE!</v>
      </c>
    </row>
    <row r="696" spans="1:16" ht="12.75">
      <c r="A696" s="45">
        <v>1701</v>
      </c>
      <c r="F696" s="34">
        <f>8.9790306325423*E696</f>
        <v>0</v>
      </c>
      <c r="I696" s="34"/>
      <c r="K696" s="34"/>
      <c r="M696" s="34"/>
      <c r="O696" s="4"/>
      <c r="P696" s="4"/>
    </row>
    <row r="697" spans="1:16" ht="12.75">
      <c r="A697" s="45">
        <v>1702</v>
      </c>
      <c r="F697" s="34">
        <f>8.9790306325423*E697</f>
        <v>0</v>
      </c>
      <c r="I697" s="34"/>
      <c r="K697" s="34"/>
      <c r="M697" s="34"/>
      <c r="O697" s="4"/>
      <c r="P697" s="4"/>
    </row>
    <row r="698" spans="1:16" ht="12.75">
      <c r="A698" s="45">
        <v>1703</v>
      </c>
      <c r="F698" s="34">
        <f>8.9790306325423*E698</f>
        <v>0</v>
      </c>
      <c r="I698" s="34"/>
      <c r="K698" s="34"/>
      <c r="M698" s="34"/>
      <c r="O698" s="4"/>
      <c r="P698" s="4"/>
    </row>
    <row r="699" spans="1:16" ht="12.75">
      <c r="A699" s="45">
        <v>1704</v>
      </c>
      <c r="F699" s="34">
        <f>8.9790306325423*E699</f>
        <v>0</v>
      </c>
      <c r="I699" s="34"/>
      <c r="K699" s="34"/>
      <c r="M699" s="34"/>
      <c r="O699" s="4"/>
      <c r="P699" s="4"/>
    </row>
    <row r="700" spans="1:16" ht="12.75">
      <c r="A700" s="45">
        <v>1705</v>
      </c>
      <c r="F700" s="34">
        <f>8.9790306325423*E700</f>
        <v>0</v>
      </c>
      <c r="I700" s="34"/>
      <c r="K700" s="34"/>
      <c r="M700" s="34"/>
      <c r="O700" s="4"/>
      <c r="P700" s="4"/>
    </row>
    <row r="701" spans="1:16" ht="12.75">
      <c r="A701" s="45">
        <v>1706</v>
      </c>
      <c r="F701" s="34">
        <f>8.9790306325423*E701</f>
        <v>0</v>
      </c>
      <c r="I701" s="34"/>
      <c r="K701" s="34"/>
      <c r="M701" s="34"/>
      <c r="O701" s="4"/>
      <c r="P701" s="4"/>
    </row>
    <row r="702" spans="1:16" ht="12.75">
      <c r="A702" s="45">
        <v>1707</v>
      </c>
      <c r="F702" s="34">
        <f>8.9790306325423*E702</f>
        <v>0</v>
      </c>
      <c r="I702" s="34"/>
      <c r="K702" s="34"/>
      <c r="M702" s="34"/>
      <c r="O702" s="4"/>
      <c r="P702" s="4"/>
    </row>
    <row r="703" spans="1:16" ht="12.75">
      <c r="A703" s="45">
        <v>1708</v>
      </c>
      <c r="F703" s="34">
        <f>8.9790306325423*E703</f>
        <v>0</v>
      </c>
      <c r="I703" s="34"/>
      <c r="K703" s="34"/>
      <c r="M703" s="34"/>
      <c r="O703" s="4"/>
      <c r="P703" s="4"/>
    </row>
    <row r="704" spans="1:16" ht="12.75">
      <c r="A704" s="45">
        <v>1709</v>
      </c>
      <c r="F704" s="34">
        <f>8.9790306325423*E704</f>
        <v>0</v>
      </c>
      <c r="I704" s="34"/>
      <c r="K704" s="34"/>
      <c r="M704" s="34"/>
      <c r="O704" s="4"/>
      <c r="P704" s="4"/>
    </row>
    <row r="705" spans="1:16" ht="12.75">
      <c r="A705" s="45">
        <v>1710</v>
      </c>
      <c r="F705" s="34">
        <f>8.9790306325423*E705</f>
        <v>0</v>
      </c>
      <c r="I705" s="34"/>
      <c r="K705" s="34"/>
      <c r="M705" s="34"/>
      <c r="O705" s="4"/>
      <c r="P705" s="4"/>
    </row>
    <row r="706" spans="1:16" ht="12.75">
      <c r="A706" s="45">
        <v>1711</v>
      </c>
      <c r="F706" s="34">
        <f>8.9790306325423*E706</f>
        <v>0</v>
      </c>
      <c r="I706" s="34"/>
      <c r="K706" s="34"/>
      <c r="M706" s="34"/>
      <c r="O706" s="4"/>
      <c r="P706" s="4"/>
    </row>
    <row r="707" spans="1:16" ht="12.75">
      <c r="A707" s="45">
        <v>1712</v>
      </c>
      <c r="F707" s="34">
        <f>8.9790306325423*E707</f>
        <v>0</v>
      </c>
      <c r="I707" s="34"/>
      <c r="K707" s="34"/>
      <c r="M707" s="34"/>
      <c r="O707" s="4"/>
      <c r="P707" s="4"/>
    </row>
    <row r="708" spans="1:16" ht="12.75">
      <c r="A708" s="45">
        <v>1713</v>
      </c>
      <c r="F708" s="34">
        <f>8.9790306325423*E708</f>
        <v>0</v>
      </c>
      <c r="I708" s="34"/>
      <c r="K708" s="34"/>
      <c r="M708" s="34"/>
      <c r="O708" s="4"/>
      <c r="P708" s="4"/>
    </row>
    <row r="709" spans="1:16" ht="12.75">
      <c r="A709" s="45">
        <v>1714</v>
      </c>
      <c r="F709" s="34">
        <f>8.9790306325423*E709</f>
        <v>0</v>
      </c>
      <c r="I709" s="34"/>
      <c r="K709" s="34"/>
      <c r="M709" s="34"/>
      <c r="O709" s="4"/>
      <c r="P709" s="4"/>
    </row>
    <row r="710" spans="1:6" ht="12.75">
      <c r="A710" s="45">
        <v>1715</v>
      </c>
      <c r="F710" s="34">
        <f>8.9790306325423*E710</f>
        <v>0</v>
      </c>
    </row>
    <row r="711" spans="1:6" ht="12.75">
      <c r="A711" s="45">
        <v>1716</v>
      </c>
      <c r="F711" s="34">
        <f>8.9790306325423*E711</f>
        <v>0</v>
      </c>
    </row>
    <row r="712" spans="1:6" ht="12.75">
      <c r="A712" s="45">
        <v>1717</v>
      </c>
      <c r="F712" s="34">
        <f>8.9790306325423*E712</f>
        <v>0</v>
      </c>
    </row>
    <row r="713" spans="1:6" ht="12.75">
      <c r="A713" s="45">
        <v>1718</v>
      </c>
      <c r="F713" s="34">
        <f>8.9790306325423*E713</f>
        <v>0</v>
      </c>
    </row>
    <row r="714" spans="1:6" ht="12.75">
      <c r="A714" s="45">
        <v>1719</v>
      </c>
      <c r="F714" s="34">
        <f>8.9790306325423*E714</f>
        <v>0</v>
      </c>
    </row>
    <row r="715" spans="1:6" ht="12.75">
      <c r="A715" s="45">
        <v>1720</v>
      </c>
      <c r="F715" s="34">
        <f>8.9790306325423*E715</f>
        <v>0</v>
      </c>
    </row>
    <row r="716" spans="1:6" ht="12.75">
      <c r="A716" s="45">
        <v>1721</v>
      </c>
      <c r="F716" s="34">
        <f>8.9790306325423*E716</f>
        <v>0</v>
      </c>
    </row>
    <row r="717" spans="1:6" ht="12.75">
      <c r="A717" s="45">
        <v>1722</v>
      </c>
      <c r="F717" s="34">
        <f>8.9790306325423*E717</f>
        <v>0</v>
      </c>
    </row>
    <row r="718" spans="1:6" ht="12.75">
      <c r="A718" s="45">
        <v>1723</v>
      </c>
      <c r="F718" s="34">
        <f>8.9790306325423*E718</f>
        <v>0</v>
      </c>
    </row>
    <row r="719" spans="1:6" ht="12.75">
      <c r="A719" s="45"/>
      <c r="F719" s="34"/>
    </row>
    <row r="720" spans="1:6" ht="12.75">
      <c r="A720" s="45"/>
      <c r="F720" s="34"/>
    </row>
    <row r="721" spans="1:6" ht="12.75">
      <c r="A721" s="45"/>
      <c r="F721" s="34"/>
    </row>
    <row r="722" spans="1:6" ht="12.75">
      <c r="A722" s="45"/>
      <c r="F722" s="34"/>
    </row>
    <row r="723" spans="1:6" ht="12.75">
      <c r="A723" s="45"/>
      <c r="F723" s="34"/>
    </row>
    <row r="724" spans="1:6" ht="12.75">
      <c r="A724" s="45"/>
      <c r="F724" s="34"/>
    </row>
    <row r="725" spans="1:6" ht="12.75">
      <c r="A725" s="45"/>
      <c r="F725" s="34"/>
    </row>
    <row r="726" spans="1:6" ht="12.75">
      <c r="A726" s="45"/>
      <c r="F726" s="34"/>
    </row>
    <row r="727" spans="1:6" ht="12.75">
      <c r="A727" s="45"/>
      <c r="F727" s="34"/>
    </row>
    <row r="728" spans="1:6" ht="12.75">
      <c r="A728" s="45"/>
      <c r="F728" s="34"/>
    </row>
    <row r="729" spans="1:6" ht="12.75">
      <c r="A729" s="45"/>
      <c r="F729" s="34"/>
    </row>
    <row r="730" spans="1:6" ht="12.75">
      <c r="A730" s="45"/>
      <c r="F730" s="34"/>
    </row>
    <row r="731" spans="1:6" ht="12.75">
      <c r="A731" s="45"/>
      <c r="F731" s="34"/>
    </row>
    <row r="732" spans="1:6" ht="12.75">
      <c r="A732" s="45"/>
      <c r="F732" s="34"/>
    </row>
    <row r="733" spans="1:6" ht="12.75">
      <c r="A733" s="45"/>
      <c r="F733" s="34"/>
    </row>
    <row r="734" spans="1:6" ht="12.75">
      <c r="A734" s="45"/>
      <c r="F734" s="34"/>
    </row>
    <row r="735" spans="1:6" ht="12.75">
      <c r="A735" s="45"/>
      <c r="F735" s="34"/>
    </row>
    <row r="736" spans="1:6" ht="12.75">
      <c r="A736" s="45"/>
      <c r="F736" s="34"/>
    </row>
    <row r="737" spans="1:6" ht="12.75">
      <c r="A737" s="45"/>
      <c r="F737" s="34"/>
    </row>
    <row r="738" spans="1:6" ht="12.75">
      <c r="A738" s="45"/>
      <c r="F738" s="34"/>
    </row>
    <row r="739" spans="1:6" ht="12.75">
      <c r="A739" s="45"/>
      <c r="F739" s="34"/>
    </row>
    <row r="740" spans="1:6" ht="12.75">
      <c r="A740" s="45"/>
      <c r="F740" s="34"/>
    </row>
    <row r="741" spans="1:6" ht="12.75">
      <c r="A741" s="45"/>
      <c r="F741" s="34"/>
    </row>
    <row r="742" spans="1:6" ht="12.75">
      <c r="A742" s="45"/>
      <c r="F742" s="34"/>
    </row>
    <row r="743" spans="1:6" ht="12.75">
      <c r="A743" s="45"/>
      <c r="F743" s="34"/>
    </row>
    <row r="744" spans="1:6" ht="12.75">
      <c r="A744" s="45"/>
      <c r="F744" s="34"/>
    </row>
    <row r="745" spans="1:6" ht="12.75">
      <c r="A745" s="45"/>
      <c r="F745" s="3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Q80"/>
  <sheetViews>
    <sheetView defaultGridColor="0" zoomScale="90" zoomScaleNormal="90" colorId="0" workbookViewId="0" topLeftCell="A1">
      <pane xSplit="1" ySplit="7" topLeftCell="B8" activePane="bottomRight" state="frozen"/>
      <selection pane="bottomRight" activeCell="B8" sqref="B8"/>
    </sheetView>
  </sheetViews>
  <sheetFormatPr defaultColWidth="9.140625" defaultRowHeight="12.75"/>
  <cols>
    <col min="1" max="1" width="8.140625" style="50" customWidth="1"/>
    <col min="2" max="2" width="8.28125" style="0" customWidth="1"/>
    <col min="3" max="4" width="10.7109375" style="0" customWidth="1"/>
    <col min="5" max="5" width="10.421875" style="0" customWidth="1"/>
    <col min="6" max="6" width="11.7109375" style="0" customWidth="1"/>
    <col min="8" max="8" width="8.28125" style="0" customWidth="1"/>
    <col min="9" max="9" width="9.7109375" style="0" customWidth="1"/>
    <col min="10" max="10" width="10.7109375" style="0" customWidth="1"/>
    <col min="11" max="11" width="10.421875" style="0" customWidth="1"/>
    <col min="12" max="12" width="11.7109375" style="0" customWidth="1"/>
    <col min="14" max="14" width="12.140625" style="0" customWidth="1"/>
    <col min="16" max="16" width="8.8515625" style="0" customWidth="1"/>
    <col min="17" max="17" width="8.57421875" style="0" customWidth="1"/>
  </cols>
  <sheetData>
    <row r="1" spans="1:17" ht="12.75">
      <c r="A1" s="51"/>
      <c r="B1" s="20"/>
      <c r="C1" s="35" t="s">
        <v>2</v>
      </c>
      <c r="D1" s="34"/>
      <c r="E1" s="34"/>
      <c r="F1" s="34"/>
      <c r="G1" s="20"/>
      <c r="H1" s="36"/>
      <c r="I1" s="34"/>
      <c r="J1" s="34"/>
      <c r="K1" s="34"/>
      <c r="L1" s="34"/>
      <c r="M1" s="34"/>
      <c r="N1" s="34"/>
      <c r="P1" s="4"/>
      <c r="Q1" s="4"/>
    </row>
    <row r="2" spans="1:17" ht="12.75">
      <c r="A2" s="51"/>
      <c r="B2" s="20"/>
      <c r="C2" s="36"/>
      <c r="D2" s="34"/>
      <c r="E2" s="34"/>
      <c r="F2" s="34"/>
      <c r="G2" s="20"/>
      <c r="H2" s="36"/>
      <c r="I2" s="34"/>
      <c r="J2" s="34"/>
      <c r="K2" s="34"/>
      <c r="L2" s="34"/>
      <c r="M2" s="34"/>
      <c r="N2" s="34"/>
      <c r="P2" s="4"/>
      <c r="Q2" s="4"/>
    </row>
    <row r="3" spans="1:17" ht="12.75">
      <c r="A3" s="51"/>
      <c r="B3" s="20"/>
      <c r="C3" s="37" t="s">
        <v>285</v>
      </c>
      <c r="D3" s="34"/>
      <c r="E3" s="34"/>
      <c r="F3" s="34"/>
      <c r="G3" s="20"/>
      <c r="H3" s="34"/>
      <c r="I3" s="35" t="s">
        <v>201</v>
      </c>
      <c r="J3" s="34"/>
      <c r="K3" s="34"/>
      <c r="L3" s="34"/>
      <c r="M3" s="34"/>
      <c r="N3" s="34"/>
      <c r="P3" s="4"/>
      <c r="Q3" s="4"/>
    </row>
    <row r="4" spans="1:17" ht="12.75">
      <c r="A4" s="51"/>
      <c r="B4" s="20"/>
      <c r="C4" s="34"/>
      <c r="D4" s="34"/>
      <c r="E4" s="34"/>
      <c r="F4" s="34"/>
      <c r="G4" s="20"/>
      <c r="H4" s="6"/>
      <c r="I4" s="34"/>
      <c r="J4" s="34"/>
      <c r="K4" s="34"/>
      <c r="L4" s="34"/>
      <c r="M4" s="34"/>
      <c r="N4" s="35" t="s">
        <v>297</v>
      </c>
      <c r="P4" s="5" t="s">
        <v>266</v>
      </c>
      <c r="Q4" s="5" t="s">
        <v>266</v>
      </c>
    </row>
    <row r="5" spans="1:17" ht="12.75">
      <c r="A5" s="51" t="s">
        <v>317</v>
      </c>
      <c r="B5" s="1" t="s">
        <v>301</v>
      </c>
      <c r="C5" s="35" t="s">
        <v>241</v>
      </c>
      <c r="D5" s="35" t="s">
        <v>271</v>
      </c>
      <c r="E5" s="35" t="s">
        <v>296</v>
      </c>
      <c r="F5" s="35" t="s">
        <v>307</v>
      </c>
      <c r="G5" s="37"/>
      <c r="H5" s="1" t="s">
        <v>301</v>
      </c>
      <c r="I5" s="35" t="s">
        <v>241</v>
      </c>
      <c r="J5" s="35" t="s">
        <v>271</v>
      </c>
      <c r="K5" s="35" t="s">
        <v>296</v>
      </c>
      <c r="L5" s="35" t="s">
        <v>307</v>
      </c>
      <c r="M5" s="35"/>
      <c r="N5" s="35" t="s">
        <v>312</v>
      </c>
      <c r="P5" s="5" t="s">
        <v>282</v>
      </c>
      <c r="Q5" s="5" t="s">
        <v>198</v>
      </c>
    </row>
    <row r="6" spans="1:17" ht="12.75">
      <c r="A6" s="51"/>
      <c r="B6" s="1" t="s">
        <v>269</v>
      </c>
      <c r="C6" s="35" t="s">
        <v>237</v>
      </c>
      <c r="D6" s="35" t="s">
        <v>237</v>
      </c>
      <c r="E6" s="35" t="s">
        <v>239</v>
      </c>
      <c r="F6" s="35" t="s">
        <v>8</v>
      </c>
      <c r="G6" s="20"/>
      <c r="H6" s="1" t="s">
        <v>269</v>
      </c>
      <c r="I6" s="35" t="s">
        <v>237</v>
      </c>
      <c r="J6" s="35" t="s">
        <v>237</v>
      </c>
      <c r="K6" s="35" t="s">
        <v>239</v>
      </c>
      <c r="L6" s="35" t="s">
        <v>8</v>
      </c>
      <c r="M6" s="35"/>
      <c r="N6" s="35" t="s">
        <v>4</v>
      </c>
      <c r="P6" s="4"/>
      <c r="Q6" s="4"/>
    </row>
    <row r="7" spans="1:17" ht="12.75">
      <c r="A7" s="51"/>
      <c r="B7" s="20"/>
      <c r="C7" s="36"/>
      <c r="D7" s="36"/>
      <c r="E7" s="36"/>
      <c r="F7" s="36"/>
      <c r="G7" s="20"/>
      <c r="H7" s="36"/>
      <c r="I7" s="36"/>
      <c r="J7" s="36"/>
      <c r="K7" s="36"/>
      <c r="L7" s="36"/>
      <c r="M7" s="34"/>
      <c r="N7" s="36"/>
      <c r="P7" s="8"/>
      <c r="Q7" s="8"/>
    </row>
    <row r="8" spans="1:17" ht="12.75">
      <c r="A8" s="45" t="s">
        <v>14</v>
      </c>
      <c r="B8" s="20"/>
      <c r="C8" s="36">
        <v>4776.2646</v>
      </c>
      <c r="D8" s="36">
        <v>8267.7186</v>
      </c>
      <c r="E8" s="36">
        <v>13043.983199999999</v>
      </c>
      <c r="F8" s="36">
        <v>40635.98646115151</v>
      </c>
      <c r="G8" s="20"/>
      <c r="H8" s="36"/>
      <c r="I8" s="36"/>
      <c r="J8" s="36"/>
      <c r="K8" s="36"/>
      <c r="L8" s="36"/>
      <c r="M8" s="34"/>
      <c r="N8" s="36">
        <v>40635.98646115151</v>
      </c>
      <c r="P8" s="4">
        <v>1</v>
      </c>
      <c r="Q8" s="4">
        <v>0</v>
      </c>
    </row>
    <row r="9" spans="1:17" ht="12.75">
      <c r="A9" s="45" t="s">
        <v>15</v>
      </c>
      <c r="B9" s="20"/>
      <c r="C9" s="36">
        <v>8071.1556</v>
      </c>
      <c r="D9" s="36">
        <v>7282.8798</v>
      </c>
      <c r="E9" s="36">
        <v>15354.035400000002</v>
      </c>
      <c r="F9" s="36">
        <v>47832.50369706403</v>
      </c>
      <c r="G9" s="20"/>
      <c r="H9" s="36"/>
      <c r="I9" s="36"/>
      <c r="J9" s="36"/>
      <c r="K9" s="36"/>
      <c r="L9" s="36"/>
      <c r="M9" s="34"/>
      <c r="N9" s="36">
        <v>47832.50369706403</v>
      </c>
      <c r="P9" s="4">
        <v>1</v>
      </c>
      <c r="Q9" s="4">
        <v>0</v>
      </c>
    </row>
    <row r="10" spans="1:17" ht="12.75">
      <c r="A10" s="45" t="s">
        <v>16</v>
      </c>
      <c r="B10" s="20"/>
      <c r="C10" s="36">
        <v>16016.6742</v>
      </c>
      <c r="D10" s="36">
        <v>9428.9866</v>
      </c>
      <c r="E10" s="36">
        <v>25445.660799999998</v>
      </c>
      <c r="F10" s="36">
        <v>79270.99505646815</v>
      </c>
      <c r="G10" s="20"/>
      <c r="H10" s="36"/>
      <c r="I10" s="36"/>
      <c r="J10" s="36"/>
      <c r="K10" s="36"/>
      <c r="L10" s="36"/>
      <c r="M10" s="34"/>
      <c r="N10" s="36">
        <v>79270.99505646815</v>
      </c>
      <c r="P10" s="4">
        <v>1</v>
      </c>
      <c r="Q10" s="4">
        <v>0</v>
      </c>
    </row>
    <row r="11" spans="1:17" ht="12.75">
      <c r="A11" s="45" t="s">
        <v>17</v>
      </c>
      <c r="B11" s="20"/>
      <c r="C11" s="36">
        <v>11108.8432</v>
      </c>
      <c r="D11" s="36">
        <v>10213.235</v>
      </c>
      <c r="E11" s="36">
        <v>21322.0782</v>
      </c>
      <c r="F11" s="36">
        <v>66424.77744519126</v>
      </c>
      <c r="G11" s="20"/>
      <c r="H11" s="36"/>
      <c r="I11" s="36"/>
      <c r="J11" s="36"/>
      <c r="K11" s="36"/>
      <c r="L11" s="36"/>
      <c r="M11" s="34"/>
      <c r="N11" s="36">
        <v>66424.77744519126</v>
      </c>
      <c r="P11" s="4">
        <v>1</v>
      </c>
      <c r="Q11" s="4">
        <v>0</v>
      </c>
    </row>
    <row r="12" spans="1:17" ht="12.75">
      <c r="A12" s="45" t="s">
        <v>18</v>
      </c>
      <c r="B12" s="20"/>
      <c r="C12" s="36">
        <v>8117.597799999999</v>
      </c>
      <c r="D12" s="36">
        <v>10608.187600000001</v>
      </c>
      <c r="E12" s="36">
        <v>18725.7854</v>
      </c>
      <c r="F12" s="36">
        <v>58336.53342859476</v>
      </c>
      <c r="G12" s="20"/>
      <c r="H12" s="36"/>
      <c r="I12" s="36"/>
      <c r="J12" s="36"/>
      <c r="K12" s="36"/>
      <c r="L12" s="36"/>
      <c r="M12" s="34"/>
      <c r="N12" s="36">
        <v>58336.53342859476</v>
      </c>
      <c r="P12" s="4">
        <v>1</v>
      </c>
      <c r="Q12" s="4">
        <v>0</v>
      </c>
    </row>
    <row r="13" spans="1:17" ht="12.75">
      <c r="A13" s="45" t="s">
        <v>20</v>
      </c>
      <c r="B13" s="20"/>
      <c r="C13" s="36">
        <v>7575.847600000001</v>
      </c>
      <c r="D13" s="36">
        <v>6675.8420000000015</v>
      </c>
      <c r="E13" s="36">
        <v>14251.689600000002</v>
      </c>
      <c r="F13" s="36">
        <v>44398.36028262701</v>
      </c>
      <c r="G13" s="20"/>
      <c r="H13" s="36"/>
      <c r="I13" s="36"/>
      <c r="J13" s="36"/>
      <c r="K13" s="36"/>
      <c r="L13" s="36"/>
      <c r="M13" s="34"/>
      <c r="N13" s="36">
        <v>44398.36028262701</v>
      </c>
      <c r="P13" s="4">
        <v>1</v>
      </c>
      <c r="Q13" s="4">
        <v>0</v>
      </c>
    </row>
    <row r="14" spans="1:17" ht="12.75">
      <c r="A14" s="45" t="s">
        <v>21</v>
      </c>
      <c r="B14" s="20"/>
      <c r="C14" s="36">
        <v>6021.798199999999</v>
      </c>
      <c r="D14" s="36">
        <v>2528.6911999999998</v>
      </c>
      <c r="E14" s="36">
        <v>8550.4894</v>
      </c>
      <c r="F14" s="36">
        <v>26637.382628231193</v>
      </c>
      <c r="G14" s="20"/>
      <c r="H14" s="36"/>
      <c r="I14" s="36"/>
      <c r="J14" s="36"/>
      <c r="K14" s="36"/>
      <c r="L14" s="36"/>
      <c r="M14" s="34"/>
      <c r="N14" s="36">
        <v>26637.382628231193</v>
      </c>
      <c r="P14" s="4">
        <v>1</v>
      </c>
      <c r="Q14" s="4">
        <v>0</v>
      </c>
    </row>
    <row r="15" spans="1:17" ht="12.75">
      <c r="A15" s="45" t="s">
        <v>22</v>
      </c>
      <c r="B15" s="20"/>
      <c r="C15" s="36">
        <v>3356.6917999999996</v>
      </c>
      <c r="D15" s="36">
        <v>202.9966</v>
      </c>
      <c r="E15" s="36">
        <v>3559.6884</v>
      </c>
      <c r="F15" s="36">
        <v>11089.515174192964</v>
      </c>
      <c r="G15" s="20"/>
      <c r="H15" s="36"/>
      <c r="I15" s="36"/>
      <c r="J15" s="36"/>
      <c r="K15" s="36"/>
      <c r="L15" s="36"/>
      <c r="M15" s="34"/>
      <c r="N15" s="36">
        <v>11089.515174192964</v>
      </c>
      <c r="P15" s="4">
        <v>1</v>
      </c>
      <c r="Q15" s="4">
        <v>0</v>
      </c>
    </row>
    <row r="16" spans="1:17" ht="12.75">
      <c r="A16" s="45" t="s">
        <v>24</v>
      </c>
      <c r="B16" s="20"/>
      <c r="C16" s="36">
        <v>20006.153</v>
      </c>
      <c r="D16" s="36">
        <v>2188.2348</v>
      </c>
      <c r="E16" s="36">
        <v>22194.3878</v>
      </c>
      <c r="F16" s="36">
        <v>69353.58742597657</v>
      </c>
      <c r="G16" s="20"/>
      <c r="H16" s="36"/>
      <c r="I16" s="36"/>
      <c r="J16" s="36"/>
      <c r="K16" s="36"/>
      <c r="L16" s="36"/>
      <c r="M16" s="34"/>
      <c r="N16" s="36">
        <v>69353.58742597657</v>
      </c>
      <c r="P16" s="4">
        <v>1</v>
      </c>
      <c r="Q16" s="4">
        <v>0</v>
      </c>
    </row>
    <row r="17" spans="1:17" ht="12.75">
      <c r="A17" s="45" t="s">
        <v>26</v>
      </c>
      <c r="B17" s="20"/>
      <c r="C17" s="36">
        <v>15612.7732</v>
      </c>
      <c r="D17" s="36">
        <v>6300.535399999999</v>
      </c>
      <c r="E17" s="36">
        <v>21913.3086</v>
      </c>
      <c r="F17" s="36">
        <v>68548.73425239252</v>
      </c>
      <c r="G17" s="20"/>
      <c r="H17" s="36"/>
      <c r="I17" s="36"/>
      <c r="J17" s="36"/>
      <c r="K17" s="36"/>
      <c r="L17" s="36"/>
      <c r="M17" s="34"/>
      <c r="N17" s="36">
        <v>68548.73425239252</v>
      </c>
      <c r="P17" s="4">
        <v>1</v>
      </c>
      <c r="Q17" s="4">
        <v>0</v>
      </c>
    </row>
    <row r="18" spans="1:17" ht="12.75">
      <c r="A18" s="45" t="s">
        <v>27</v>
      </c>
      <c r="B18" s="20"/>
      <c r="C18" s="36">
        <v>11625.4876</v>
      </c>
      <c r="D18" s="36">
        <v>5655.1086000000005</v>
      </c>
      <c r="E18" s="36">
        <v>17280.596200000004</v>
      </c>
      <c r="F18" s="36">
        <v>54056.78431584283</v>
      </c>
      <c r="G18" s="20"/>
      <c r="H18" s="36"/>
      <c r="I18" s="36"/>
      <c r="J18" s="36"/>
      <c r="K18" s="36"/>
      <c r="L18" s="36"/>
      <c r="M18" s="34"/>
      <c r="N18" s="36">
        <v>54056.78431584283</v>
      </c>
      <c r="P18" s="4">
        <v>1</v>
      </c>
      <c r="Q18" s="4">
        <v>0</v>
      </c>
    </row>
    <row r="19" spans="1:17" ht="12.75">
      <c r="A19" s="45" t="s">
        <v>28</v>
      </c>
      <c r="B19" s="20"/>
      <c r="C19" s="36">
        <v>1402.142</v>
      </c>
      <c r="D19" s="36">
        <v>150.2102</v>
      </c>
      <c r="E19" s="36">
        <v>1552.3522</v>
      </c>
      <c r="F19" s="36">
        <v>4856.03431076204</v>
      </c>
      <c r="G19" s="20"/>
      <c r="H19" s="36"/>
      <c r="I19" s="36"/>
      <c r="J19" s="36"/>
      <c r="K19" s="36"/>
      <c r="L19" s="36"/>
      <c r="M19" s="34"/>
      <c r="N19" s="36">
        <v>4856.03431076204</v>
      </c>
      <c r="P19" s="4">
        <v>1</v>
      </c>
      <c r="Q19" s="4">
        <v>0</v>
      </c>
    </row>
    <row r="20" spans="1:17" ht="12.75">
      <c r="A20" s="45" t="s">
        <v>29</v>
      </c>
      <c r="B20" s="20"/>
      <c r="C20" s="36">
        <v>8650.426</v>
      </c>
      <c r="D20" s="36">
        <v>3420.9914</v>
      </c>
      <c r="E20" s="36">
        <v>12071.4174</v>
      </c>
      <c r="F20" s="36">
        <v>37761.544753780676</v>
      </c>
      <c r="G20" s="20"/>
      <c r="H20" s="36"/>
      <c r="I20" s="36"/>
      <c r="J20" s="36"/>
      <c r="K20" s="36"/>
      <c r="L20" s="36"/>
      <c r="M20" s="34"/>
      <c r="N20" s="36">
        <v>37761.544753780676</v>
      </c>
      <c r="P20" s="4">
        <v>1</v>
      </c>
      <c r="Q20" s="4">
        <v>0</v>
      </c>
    </row>
    <row r="21" spans="1:17" ht="12.75">
      <c r="A21" s="45" t="s">
        <v>30</v>
      </c>
      <c r="B21" s="20"/>
      <c r="C21" s="36">
        <v>9112.661799999998</v>
      </c>
      <c r="D21" s="36">
        <v>6904.8027999999995</v>
      </c>
      <c r="E21" s="36">
        <v>16017.464600000001</v>
      </c>
      <c r="F21" s="36">
        <v>50105.48358099171</v>
      </c>
      <c r="G21" s="20"/>
      <c r="H21" s="36"/>
      <c r="I21" s="36"/>
      <c r="J21" s="36"/>
      <c r="K21" s="36"/>
      <c r="L21" s="36"/>
      <c r="M21" s="34"/>
      <c r="N21" s="36">
        <v>50105.48358099171</v>
      </c>
      <c r="P21" s="4">
        <v>1</v>
      </c>
      <c r="Q21" s="4">
        <v>0</v>
      </c>
    </row>
    <row r="22" spans="1:17" ht="12.75">
      <c r="A22" s="45" t="s">
        <v>31</v>
      </c>
      <c r="B22" s="20"/>
      <c r="C22" s="36">
        <v>26012.89575</v>
      </c>
      <c r="D22" s="36">
        <v>14213.657500000001</v>
      </c>
      <c r="E22" s="36">
        <v>40226.55325</v>
      </c>
      <c r="F22" s="36">
        <v>125835.82693778916</v>
      </c>
      <c r="G22" s="20"/>
      <c r="H22" s="36"/>
      <c r="I22" s="36"/>
      <c r="J22" s="36"/>
      <c r="K22" s="36"/>
      <c r="L22" s="36"/>
      <c r="M22" s="34"/>
      <c r="N22" s="36">
        <v>125835.82693778916</v>
      </c>
      <c r="P22" s="4">
        <v>1</v>
      </c>
      <c r="Q22" s="4">
        <v>0</v>
      </c>
    </row>
    <row r="23" spans="1:17" ht="12.75">
      <c r="A23" s="45" t="s">
        <v>32</v>
      </c>
      <c r="B23" s="20"/>
      <c r="C23" s="36">
        <v>5186.854</v>
      </c>
      <c r="D23" s="36">
        <v>5519.85775</v>
      </c>
      <c r="E23" s="36">
        <v>10706.71175</v>
      </c>
      <c r="F23" s="36">
        <v>33492.50229003385</v>
      </c>
      <c r="G23" s="20"/>
      <c r="H23" s="36"/>
      <c r="I23" s="36"/>
      <c r="J23" s="36"/>
      <c r="K23" s="36"/>
      <c r="L23" s="36"/>
      <c r="M23" s="34"/>
      <c r="N23" s="36">
        <v>33492.50229003385</v>
      </c>
      <c r="P23" s="4">
        <v>1</v>
      </c>
      <c r="Q23" s="4">
        <v>0</v>
      </c>
    </row>
    <row r="24" spans="1:17" ht="12.75">
      <c r="A24" s="45" t="s">
        <v>33</v>
      </c>
      <c r="B24" s="20"/>
      <c r="C24" s="36">
        <v>2583.7794000000004</v>
      </c>
      <c r="D24" s="36">
        <v>4691.8962</v>
      </c>
      <c r="E24" s="36">
        <v>7275.6756000000005</v>
      </c>
      <c r="F24" s="36">
        <v>22759.60980219192</v>
      </c>
      <c r="G24" s="20"/>
      <c r="H24" s="36"/>
      <c r="I24" s="36"/>
      <c r="J24" s="36"/>
      <c r="K24" s="36"/>
      <c r="L24" s="36"/>
      <c r="M24" s="34"/>
      <c r="N24" s="36">
        <v>22759.60980219192</v>
      </c>
      <c r="P24" s="4">
        <v>1</v>
      </c>
      <c r="Q24" s="4">
        <v>0</v>
      </c>
    </row>
    <row r="25" spans="1:17" ht="12.75">
      <c r="A25" s="45" t="s">
        <v>34</v>
      </c>
      <c r="B25" s="20"/>
      <c r="C25" s="36">
        <v>1136.7606999999998</v>
      </c>
      <c r="D25" s="36">
        <v>643.3464</v>
      </c>
      <c r="E25" s="36">
        <v>1780.1071000000004</v>
      </c>
      <c r="F25" s="36">
        <v>5568.49222388522</v>
      </c>
      <c r="G25" s="20"/>
      <c r="H25" s="36"/>
      <c r="I25" s="36"/>
      <c r="J25" s="36"/>
      <c r="K25" s="36"/>
      <c r="L25" s="36"/>
      <c r="M25" s="34"/>
      <c r="N25" s="36">
        <v>5568.49222388522</v>
      </c>
      <c r="P25" s="4">
        <v>1</v>
      </c>
      <c r="Q25" s="4">
        <v>0</v>
      </c>
    </row>
    <row r="26" spans="1:17" ht="12.75">
      <c r="A26" s="45" t="s">
        <v>35</v>
      </c>
      <c r="B26" s="20"/>
      <c r="C26" s="36">
        <v>112.60440000000001</v>
      </c>
      <c r="D26" s="36">
        <v>9.2524</v>
      </c>
      <c r="E26" s="36">
        <v>121.85679999999999</v>
      </c>
      <c r="F26" s="36">
        <v>381.18978528175995</v>
      </c>
      <c r="G26" s="20"/>
      <c r="H26" s="36"/>
      <c r="I26" s="36"/>
      <c r="J26" s="36"/>
      <c r="K26" s="36"/>
      <c r="L26" s="36"/>
      <c r="M26" s="34"/>
      <c r="N26" s="36">
        <v>381.18978528175995</v>
      </c>
      <c r="P26" s="4">
        <v>1</v>
      </c>
      <c r="Q26" s="4">
        <v>0</v>
      </c>
    </row>
    <row r="27" spans="1:17" ht="12.75">
      <c r="A27" s="45" t="s">
        <v>36</v>
      </c>
      <c r="B27" s="20"/>
      <c r="C27" s="36">
        <v>168.272</v>
      </c>
      <c r="D27" s="36">
        <v>40.7836</v>
      </c>
      <c r="E27" s="36">
        <v>209.0556</v>
      </c>
      <c r="F27" s="36">
        <v>665.1305367932398</v>
      </c>
      <c r="G27" s="20"/>
      <c r="H27" s="36"/>
      <c r="I27" s="36"/>
      <c r="J27" s="36"/>
      <c r="K27" s="36"/>
      <c r="L27" s="36"/>
      <c r="M27" s="34"/>
      <c r="N27" s="36">
        <v>665.1305367932398</v>
      </c>
      <c r="P27" s="4">
        <v>1</v>
      </c>
      <c r="Q27" s="4">
        <v>0</v>
      </c>
    </row>
    <row r="28" spans="1:17" ht="12.75">
      <c r="A28" s="45" t="s">
        <v>38</v>
      </c>
      <c r="B28" s="20"/>
      <c r="C28" s="36">
        <v>429.488</v>
      </c>
      <c r="D28" s="36">
        <v>0</v>
      </c>
      <c r="E28" s="36">
        <v>429.488</v>
      </c>
      <c r="F28" s="36">
        <v>1551.5986</v>
      </c>
      <c r="G28" s="20"/>
      <c r="H28" s="36"/>
      <c r="I28" s="36"/>
      <c r="J28" s="36"/>
      <c r="K28" s="36"/>
      <c r="L28" s="36"/>
      <c r="M28" s="34"/>
      <c r="N28" s="36">
        <v>1551.5986</v>
      </c>
      <c r="P28" s="4">
        <v>1</v>
      </c>
      <c r="Q28" s="4">
        <v>0</v>
      </c>
    </row>
    <row r="29" spans="1:17" ht="12.75">
      <c r="A29" s="45" t="s">
        <v>39</v>
      </c>
      <c r="B29" s="20"/>
      <c r="C29" s="36">
        <v>4966.3176</v>
      </c>
      <c r="D29" s="36">
        <v>111.13879999999999</v>
      </c>
      <c r="E29" s="36">
        <v>5077.4564</v>
      </c>
      <c r="F29" s="36">
        <v>17710.4732</v>
      </c>
      <c r="G29" s="20"/>
      <c r="H29" s="36"/>
      <c r="I29" s="36">
        <v>240.01100000000002</v>
      </c>
      <c r="J29" s="36"/>
      <c r="K29" s="36">
        <v>240.01100000000002</v>
      </c>
      <c r="L29" s="36">
        <v>9859.484400000001</v>
      </c>
      <c r="M29" s="34"/>
      <c r="N29" s="36">
        <v>27569.9576</v>
      </c>
      <c r="P29" s="4">
        <v>0.6423830408792504</v>
      </c>
      <c r="Q29" s="4">
        <v>0.35761695912074964</v>
      </c>
    </row>
    <row r="30" spans="1:17" ht="12.75">
      <c r="A30" s="45" t="s">
        <v>44</v>
      </c>
      <c r="B30" s="20"/>
      <c r="C30" s="36">
        <v>1971.1888</v>
      </c>
      <c r="D30" s="36">
        <v>19.8622</v>
      </c>
      <c r="E30" s="36">
        <v>1991.051</v>
      </c>
      <c r="F30" s="36">
        <v>7090.873999999999</v>
      </c>
      <c r="G30" s="20"/>
      <c r="H30" s="36"/>
      <c r="I30" s="36">
        <v>675.8370000000001</v>
      </c>
      <c r="J30" s="36"/>
      <c r="K30" s="36">
        <v>675.8370000000001</v>
      </c>
      <c r="L30" s="36">
        <v>27123.29685783031</v>
      </c>
      <c r="M30" s="34"/>
      <c r="N30" s="36">
        <v>34214.17085783031</v>
      </c>
      <c r="P30" s="4">
        <v>0.20724962266262753</v>
      </c>
      <c r="Q30" s="4">
        <v>0.7927503773373725</v>
      </c>
    </row>
    <row r="31" spans="1:17" ht="12.75">
      <c r="A31" s="45" t="s">
        <v>48</v>
      </c>
      <c r="B31" s="20"/>
      <c r="C31" s="36">
        <v>16105.909600000003</v>
      </c>
      <c r="D31" s="36">
        <v>1336.9954</v>
      </c>
      <c r="E31" s="36">
        <v>17442.905000000002</v>
      </c>
      <c r="F31" s="36">
        <v>67245.27542621497</v>
      </c>
      <c r="G31" s="20"/>
      <c r="H31" s="36"/>
      <c r="I31" s="36">
        <v>1939.7774000000002</v>
      </c>
      <c r="J31" s="36"/>
      <c r="K31" s="36">
        <v>1939.7774000000002</v>
      </c>
      <c r="L31" s="36">
        <v>83567.73148075413</v>
      </c>
      <c r="M31" s="34"/>
      <c r="N31" s="36">
        <v>150813.0069069691</v>
      </c>
      <c r="P31" s="4">
        <v>0.44588511830213734</v>
      </c>
      <c r="Q31" s="4">
        <v>0.5541148816978627</v>
      </c>
    </row>
    <row r="32" spans="1:17" ht="12.75">
      <c r="A32" s="45" t="s">
        <v>49</v>
      </c>
      <c r="B32" s="20"/>
      <c r="C32" s="36">
        <v>4423.0163999999995</v>
      </c>
      <c r="D32" s="36">
        <v>0</v>
      </c>
      <c r="E32" s="36">
        <v>4423.0163999999995</v>
      </c>
      <c r="F32" s="36">
        <v>17081.461035010823</v>
      </c>
      <c r="G32" s="20"/>
      <c r="H32" s="36"/>
      <c r="I32" s="36">
        <v>1726.6948</v>
      </c>
      <c r="J32" s="36"/>
      <c r="K32" s="36">
        <v>1726.6948</v>
      </c>
      <c r="L32" s="36">
        <v>74406.84437012287</v>
      </c>
      <c r="M32" s="34"/>
      <c r="N32" s="36">
        <v>91488.30540513368</v>
      </c>
      <c r="P32" s="4">
        <v>0.18670649717873483</v>
      </c>
      <c r="Q32" s="4">
        <v>0.8132935028212652</v>
      </c>
    </row>
    <row r="33" spans="1:17" ht="12.75">
      <c r="A33" s="45" t="s">
        <v>50</v>
      </c>
      <c r="B33" s="20"/>
      <c r="C33" s="36">
        <v>1432.2356000000002</v>
      </c>
      <c r="D33" s="36">
        <v>198.5752</v>
      </c>
      <c r="E33" s="36">
        <v>1630.8108000000002</v>
      </c>
      <c r="F33" s="36">
        <v>6298.107132425471</v>
      </c>
      <c r="G33" s="20"/>
      <c r="H33" s="36"/>
      <c r="I33" s="36">
        <v>1916.3656000000003</v>
      </c>
      <c r="J33" s="36">
        <v>498.87620000000004</v>
      </c>
      <c r="K33" s="36">
        <v>2415.2418</v>
      </c>
      <c r="L33" s="36">
        <v>104077.75637525255</v>
      </c>
      <c r="M33" s="34"/>
      <c r="N33" s="36">
        <v>110375.86350767803</v>
      </c>
      <c r="P33" s="4">
        <v>0.057060546864825736</v>
      </c>
      <c r="Q33" s="4">
        <v>0.9429394531351741</v>
      </c>
    </row>
    <row r="34" spans="1:17" ht="12.75">
      <c r="A34" s="45" t="s">
        <v>51</v>
      </c>
      <c r="B34" s="20"/>
      <c r="C34" s="36">
        <v>293.8224</v>
      </c>
      <c r="D34" s="36">
        <v>0</v>
      </c>
      <c r="E34" s="36">
        <v>293.8224</v>
      </c>
      <c r="F34" s="36">
        <v>1134.7269426388207</v>
      </c>
      <c r="G34" s="20"/>
      <c r="H34" s="36"/>
      <c r="I34" s="36">
        <v>685.781</v>
      </c>
      <c r="J34" s="36">
        <v>1043.2462</v>
      </c>
      <c r="K34" s="36">
        <v>1729.0272</v>
      </c>
      <c r="L34" s="36">
        <v>74507.35230227676</v>
      </c>
      <c r="M34" s="34"/>
      <c r="N34" s="36">
        <v>75642.07924491559</v>
      </c>
      <c r="P34" s="4">
        <v>0.015001265882244945</v>
      </c>
      <c r="Q34" s="4">
        <v>0.9849987341177551</v>
      </c>
    </row>
    <row r="35" spans="1:17" ht="12.75">
      <c r="A35" s="45" t="s">
        <v>52</v>
      </c>
      <c r="B35" s="20"/>
      <c r="C35" s="36">
        <v>316.96639999999996</v>
      </c>
      <c r="D35" s="36">
        <v>0</v>
      </c>
      <c r="E35" s="36">
        <v>316.96639999999996</v>
      </c>
      <c r="F35" s="36">
        <v>1224.1078760204587</v>
      </c>
      <c r="G35" s="20"/>
      <c r="H35" s="36"/>
      <c r="I35" s="36">
        <v>334.3452</v>
      </c>
      <c r="J35" s="36">
        <v>468.26239999999996</v>
      </c>
      <c r="K35" s="36">
        <v>802.6076</v>
      </c>
      <c r="L35" s="36">
        <v>34586.01878193983</v>
      </c>
      <c r="M35" s="34"/>
      <c r="N35" s="36">
        <v>35810.12665796028</v>
      </c>
      <c r="P35" s="4">
        <v>0.03418328808810147</v>
      </c>
      <c r="Q35" s="4">
        <v>0.9658167119118987</v>
      </c>
    </row>
    <row r="36" spans="1:17" ht="12.75">
      <c r="A36" s="45" t="s">
        <v>53</v>
      </c>
      <c r="B36" s="20"/>
      <c r="C36" s="36">
        <v>356.898</v>
      </c>
      <c r="D36" s="36">
        <v>0</v>
      </c>
      <c r="E36" s="36">
        <v>356.898</v>
      </c>
      <c r="F36" s="36">
        <v>1378.321654080526</v>
      </c>
      <c r="G36" s="20"/>
      <c r="H36" s="36"/>
      <c r="I36" s="36">
        <v>110.635</v>
      </c>
      <c r="J36" s="36">
        <v>124.69480000000001</v>
      </c>
      <c r="K36" s="36">
        <v>235.32980000000003</v>
      </c>
      <c r="L36" s="36">
        <v>10140.847012600108</v>
      </c>
      <c r="M36" s="34"/>
      <c r="N36" s="36">
        <v>11519.168666680634</v>
      </c>
      <c r="P36" s="4">
        <v>0.11965461171406769</v>
      </c>
      <c r="Q36" s="4">
        <v>0.8803453882859323</v>
      </c>
    </row>
    <row r="37" spans="1:17" ht="12.75">
      <c r="A37" s="45" t="s">
        <v>54</v>
      </c>
      <c r="B37" s="20"/>
      <c r="C37" s="36">
        <v>317.412</v>
      </c>
      <c r="D37" s="36">
        <v>0</v>
      </c>
      <c r="E37" s="36">
        <v>317.412</v>
      </c>
      <c r="F37" s="36">
        <v>1225.828760220029</v>
      </c>
      <c r="G37" s="20"/>
      <c r="H37" s="36"/>
      <c r="I37" s="36">
        <v>145.8004</v>
      </c>
      <c r="J37" s="36">
        <v>16.034599999999998</v>
      </c>
      <c r="K37" s="36">
        <v>161.83499999999998</v>
      </c>
      <c r="L37" s="36">
        <v>6973.804321782189</v>
      </c>
      <c r="M37" s="34"/>
      <c r="N37" s="36">
        <v>8199.633082002218</v>
      </c>
      <c r="P37" s="4">
        <v>0.1494980016740824</v>
      </c>
      <c r="Q37" s="4">
        <v>0.8505019983259176</v>
      </c>
    </row>
    <row r="38" spans="1:17" ht="12.75">
      <c r="A38" s="45" t="s">
        <v>55</v>
      </c>
      <c r="B38" s="20"/>
      <c r="C38" s="36">
        <v>247.5142</v>
      </c>
      <c r="D38" s="36">
        <v>0</v>
      </c>
      <c r="E38" s="36">
        <v>247.5142</v>
      </c>
      <c r="F38" s="36">
        <v>955.8870645182044</v>
      </c>
      <c r="G38" s="20"/>
      <c r="H38" s="36"/>
      <c r="I38" s="36">
        <v>346.5892</v>
      </c>
      <c r="J38" s="36">
        <v>158.2214</v>
      </c>
      <c r="K38" s="36">
        <v>504.81059999999997</v>
      </c>
      <c r="L38" s="36">
        <v>21753.331133323816</v>
      </c>
      <c r="M38" s="34"/>
      <c r="N38" s="36">
        <v>22709.218197842023</v>
      </c>
      <c r="P38" s="4">
        <v>0.04209246906655021</v>
      </c>
      <c r="Q38" s="4">
        <v>0.9579075309334497</v>
      </c>
    </row>
    <row r="39" spans="1:17" ht="12.75">
      <c r="A39" s="45" t="s">
        <v>56</v>
      </c>
      <c r="B39" s="20"/>
      <c r="C39" s="36">
        <v>193.489</v>
      </c>
      <c r="D39" s="36">
        <v>0</v>
      </c>
      <c r="E39" s="36">
        <v>193.489</v>
      </c>
      <c r="F39" s="36">
        <v>747.2445307241478</v>
      </c>
      <c r="G39" s="20"/>
      <c r="H39" s="36"/>
      <c r="I39" s="36">
        <v>411.186</v>
      </c>
      <c r="J39" s="36">
        <v>215.3598</v>
      </c>
      <c r="K39" s="36">
        <v>626.5458000000001</v>
      </c>
      <c r="L39" s="36">
        <v>26999.152271353418</v>
      </c>
      <c r="M39" s="34"/>
      <c r="N39" s="36">
        <v>27746.396802077557</v>
      </c>
      <c r="P39" s="4">
        <v>0.02693122772136657</v>
      </c>
      <c r="Q39" s="4">
        <v>0.9730687722786338</v>
      </c>
    </row>
    <row r="40" spans="1:17" ht="12.75">
      <c r="A40" s="45" t="s">
        <v>57</v>
      </c>
      <c r="B40" s="20"/>
      <c r="C40" s="36">
        <v>175.596</v>
      </c>
      <c r="D40" s="36">
        <v>0</v>
      </c>
      <c r="E40" s="36">
        <v>175.596</v>
      </c>
      <c r="F40" s="36">
        <v>678.1426883028878</v>
      </c>
      <c r="G40" s="20"/>
      <c r="H40" s="36"/>
      <c r="I40" s="36">
        <v>307.0616</v>
      </c>
      <c r="J40" s="36">
        <v>84.08099999999999</v>
      </c>
      <c r="K40" s="36">
        <v>391.1426</v>
      </c>
      <c r="L40" s="36">
        <v>16855.142301190237</v>
      </c>
      <c r="M40" s="34"/>
      <c r="N40" s="36">
        <v>17533.284989493128</v>
      </c>
      <c r="P40" s="4">
        <v>0.038677446280561044</v>
      </c>
      <c r="Q40" s="4">
        <v>0.9613225537194388</v>
      </c>
    </row>
    <row r="41" spans="1:17" ht="12.75">
      <c r="A41" s="45" t="s">
        <v>59</v>
      </c>
      <c r="B41" s="20"/>
      <c r="C41" s="36">
        <v>66.3436</v>
      </c>
      <c r="D41" s="36">
        <v>0</v>
      </c>
      <c r="E41" s="36">
        <v>66.3436</v>
      </c>
      <c r="F41" s="36">
        <v>256.21555875812356</v>
      </c>
      <c r="G41" s="20"/>
      <c r="H41" s="36"/>
      <c r="I41" s="36">
        <v>127.0368</v>
      </c>
      <c r="J41" s="36">
        <v>41.63440000000001</v>
      </c>
      <c r="K41" s="36">
        <v>168.6712</v>
      </c>
      <c r="L41" s="36">
        <v>7268.390295796262</v>
      </c>
      <c r="M41" s="34"/>
      <c r="N41" s="36">
        <v>7524.605854554386</v>
      </c>
      <c r="P41" s="4">
        <v>0.034050362731364206</v>
      </c>
      <c r="Q41" s="4">
        <v>0.9659496372686358</v>
      </c>
    </row>
    <row r="42" spans="1:17" ht="12.75">
      <c r="A42" s="45" t="s">
        <v>60</v>
      </c>
      <c r="B42" s="20"/>
      <c r="C42" s="36">
        <v>10.5924</v>
      </c>
      <c r="D42" s="36">
        <v>0</v>
      </c>
      <c r="E42" s="36">
        <v>10.5924</v>
      </c>
      <c r="F42" s="36">
        <v>40.90730205459981</v>
      </c>
      <c r="G42" s="20"/>
      <c r="H42" s="36"/>
      <c r="I42" s="36">
        <v>69.005</v>
      </c>
      <c r="J42" s="36">
        <v>0</v>
      </c>
      <c r="K42" s="36">
        <v>69.005</v>
      </c>
      <c r="L42" s="36">
        <v>2973.567937866222</v>
      </c>
      <c r="M42" s="34"/>
      <c r="N42" s="36">
        <v>3014.475239920822</v>
      </c>
      <c r="P42" s="4">
        <v>0.01357028961885727</v>
      </c>
      <c r="Q42" s="4">
        <v>0.9864297103811427</v>
      </c>
    </row>
    <row r="43" spans="1:17" ht="12.75">
      <c r="A43" s="45" t="s">
        <v>62</v>
      </c>
      <c r="B43" s="20"/>
      <c r="C43" s="36">
        <v>967.4842000000001</v>
      </c>
      <c r="D43" s="36">
        <v>0</v>
      </c>
      <c r="E43" s="36">
        <v>967.4842000000001</v>
      </c>
      <c r="F43" s="36">
        <v>4483.339894526171</v>
      </c>
      <c r="G43" s="20"/>
      <c r="H43" s="36"/>
      <c r="I43" s="36">
        <v>1870.6691999999998</v>
      </c>
      <c r="J43" s="36">
        <v>0</v>
      </c>
      <c r="K43" s="36">
        <v>1870.6691999999998</v>
      </c>
      <c r="L43" s="36">
        <v>89519.89610311638</v>
      </c>
      <c r="M43" s="34"/>
      <c r="N43" s="36">
        <v>94003.23599764255</v>
      </c>
      <c r="P43" s="4">
        <v>0.047693463389266784</v>
      </c>
      <c r="Q43" s="4">
        <v>0.9523065366107332</v>
      </c>
    </row>
    <row r="44" spans="1:17" ht="12.75">
      <c r="A44" s="45" t="s">
        <v>64</v>
      </c>
      <c r="B44" s="20"/>
      <c r="C44" s="36">
        <v>837.7627999999999</v>
      </c>
      <c r="D44" s="36">
        <v>0</v>
      </c>
      <c r="E44" s="36">
        <v>837.7627999999999</v>
      </c>
      <c r="F44" s="36">
        <v>3882.47602919534</v>
      </c>
      <c r="G44" s="20"/>
      <c r="H44" s="36"/>
      <c r="I44" s="36">
        <v>1035.1504</v>
      </c>
      <c r="J44" s="36">
        <v>0</v>
      </c>
      <c r="K44" s="36">
        <v>1035.1504</v>
      </c>
      <c r="L44" s="36">
        <v>49563.07578854022</v>
      </c>
      <c r="M44" s="34"/>
      <c r="N44" s="36">
        <v>53445.55181773556</v>
      </c>
      <c r="P44" s="4">
        <v>0.07264357644646799</v>
      </c>
      <c r="Q44" s="4">
        <v>0.927356423553532</v>
      </c>
    </row>
    <row r="45" spans="1:17" ht="12.75">
      <c r="A45" s="45" t="s">
        <v>66</v>
      </c>
      <c r="B45" s="20"/>
      <c r="C45" s="36">
        <v>696.1476</v>
      </c>
      <c r="D45" s="36">
        <v>2489.8722000000002</v>
      </c>
      <c r="E45" s="36">
        <v>3186.0197999999996</v>
      </c>
      <c r="F45" s="36">
        <v>14765.092818685347</v>
      </c>
      <c r="G45" s="20"/>
      <c r="H45" s="36"/>
      <c r="I45" s="36">
        <v>2027.3205999999998</v>
      </c>
      <c r="J45" s="36">
        <v>529.9932000000001</v>
      </c>
      <c r="K45" s="36">
        <v>2557.3138</v>
      </c>
      <c r="L45" s="36">
        <v>122444.36913175108</v>
      </c>
      <c r="M45" s="34"/>
      <c r="N45" s="36">
        <v>137209.46195043644</v>
      </c>
      <c r="P45" s="4">
        <v>0.10760987331922398</v>
      </c>
      <c r="Q45" s="4">
        <v>0.892390126680776</v>
      </c>
    </row>
    <row r="46" spans="1:17" ht="12.75">
      <c r="A46" s="45" t="s">
        <v>67</v>
      </c>
      <c r="B46" s="20"/>
      <c r="C46" s="36">
        <v>537.1824</v>
      </c>
      <c r="D46" s="36">
        <v>6321.4254</v>
      </c>
      <c r="E46" s="36">
        <v>6858.607800000001</v>
      </c>
      <c r="F46" s="36">
        <v>31785.107165360147</v>
      </c>
      <c r="G46" s="20"/>
      <c r="H46" s="36"/>
      <c r="I46" s="36">
        <v>521.7898</v>
      </c>
      <c r="J46" s="36">
        <v>77.68860000000001</v>
      </c>
      <c r="K46" s="36">
        <v>599.4784</v>
      </c>
      <c r="L46" s="36">
        <v>28703.069015664612</v>
      </c>
      <c r="M46" s="34"/>
      <c r="N46" s="36">
        <v>60488.17618102477</v>
      </c>
      <c r="P46" s="4">
        <v>0.5254763686416318</v>
      </c>
      <c r="Q46" s="4">
        <v>0.474523631358368</v>
      </c>
    </row>
    <row r="47" spans="1:17" ht="12.75">
      <c r="A47" s="45" t="s">
        <v>70</v>
      </c>
      <c r="B47" s="20"/>
      <c r="C47" s="36">
        <v>347.7646</v>
      </c>
      <c r="D47" s="36">
        <v>7711.780399999999</v>
      </c>
      <c r="E47" s="36">
        <v>8059.545</v>
      </c>
      <c r="F47" s="36">
        <v>37350.65613885117</v>
      </c>
      <c r="G47" s="20"/>
      <c r="H47" s="36"/>
      <c r="I47" s="36">
        <v>212.3512</v>
      </c>
      <c r="J47" s="36">
        <v>8.4334</v>
      </c>
      <c r="K47" s="36">
        <v>220.7846</v>
      </c>
      <c r="L47" s="36">
        <v>10571.18256703812</v>
      </c>
      <c r="M47" s="34"/>
      <c r="N47" s="36">
        <v>47921.83870588929</v>
      </c>
      <c r="P47" s="4">
        <v>0.7794078263165851</v>
      </c>
      <c r="Q47" s="4">
        <v>0.2205921736834148</v>
      </c>
    </row>
    <row r="48" spans="1:17" ht="12.75">
      <c r="A48" s="45" t="s">
        <v>71</v>
      </c>
      <c r="B48" s="20"/>
      <c r="C48" s="36">
        <v>532.5856</v>
      </c>
      <c r="D48" s="36">
        <v>444.43919999999997</v>
      </c>
      <c r="E48" s="36">
        <v>977.0247999999999</v>
      </c>
      <c r="F48" s="36">
        <v>4527.863216090963</v>
      </c>
      <c r="G48" s="20"/>
      <c r="H48" s="36"/>
      <c r="I48" s="36">
        <v>132.2742</v>
      </c>
      <c r="J48" s="36">
        <v>0</v>
      </c>
      <c r="K48" s="36">
        <v>132.2742</v>
      </c>
      <c r="L48" s="36">
        <v>6333.298233250479</v>
      </c>
      <c r="M48" s="34"/>
      <c r="N48" s="36">
        <v>10861.161449341444</v>
      </c>
      <c r="P48" s="4">
        <v>0.41688572969012494</v>
      </c>
      <c r="Q48" s="4">
        <v>0.5831142703098748</v>
      </c>
    </row>
    <row r="49" spans="1:17" ht="12.75">
      <c r="A49" s="45" t="s">
        <v>73</v>
      </c>
      <c r="B49" s="20"/>
      <c r="C49" s="36">
        <v>130.6998</v>
      </c>
      <c r="D49" s="36">
        <v>0</v>
      </c>
      <c r="E49" s="36">
        <v>130.6998</v>
      </c>
      <c r="F49" s="36">
        <v>605.7070575592818</v>
      </c>
      <c r="G49" s="20"/>
      <c r="H49" s="36"/>
      <c r="I49" s="36">
        <v>90.7782</v>
      </c>
      <c r="J49" s="36">
        <v>0</v>
      </c>
      <c r="K49" s="36">
        <v>90.7782</v>
      </c>
      <c r="L49" s="36">
        <v>4346.466761300833</v>
      </c>
      <c r="M49" s="34"/>
      <c r="N49" s="36">
        <v>4952.173818860116</v>
      </c>
      <c r="P49" s="4">
        <v>0.12231134845317336</v>
      </c>
      <c r="Q49" s="4">
        <v>0.8776886515468265</v>
      </c>
    </row>
    <row r="50" spans="1:17" ht="12.75">
      <c r="A50" s="45" t="s">
        <v>74</v>
      </c>
      <c r="B50" s="20"/>
      <c r="C50" s="36">
        <v>517.3729999999999</v>
      </c>
      <c r="D50" s="36">
        <v>0</v>
      </c>
      <c r="E50" s="36">
        <v>517.3729999999999</v>
      </c>
      <c r="F50" s="36">
        <v>2397.681385056582</v>
      </c>
      <c r="G50" s="20"/>
      <c r="H50" s="36"/>
      <c r="I50" s="36">
        <v>64.3362</v>
      </c>
      <c r="J50" s="36">
        <v>0</v>
      </c>
      <c r="K50" s="36">
        <v>64.3362</v>
      </c>
      <c r="L50" s="36">
        <v>3080.4218947765285</v>
      </c>
      <c r="M50" s="34"/>
      <c r="N50" s="36">
        <v>5478.10327983311</v>
      </c>
      <c r="P50" s="4">
        <v>0.4376845894606111</v>
      </c>
      <c r="Q50" s="4">
        <v>0.5623154105393889</v>
      </c>
    </row>
    <row r="51" spans="1:17" ht="12.75">
      <c r="A51" s="45" t="s">
        <v>76</v>
      </c>
      <c r="B51" s="20"/>
      <c r="C51" s="36">
        <v>1460.6368</v>
      </c>
      <c r="D51" s="36">
        <v>0</v>
      </c>
      <c r="E51" s="36">
        <v>1460.6368</v>
      </c>
      <c r="F51" s="36">
        <v>6769.084713907787</v>
      </c>
      <c r="G51" s="20"/>
      <c r="H51" s="36"/>
      <c r="I51" s="36">
        <v>63.525999999999996</v>
      </c>
      <c r="J51" s="36">
        <v>0</v>
      </c>
      <c r="K51" s="36">
        <v>63.525999999999996</v>
      </c>
      <c r="L51" s="36">
        <v>3041.629460359389</v>
      </c>
      <c r="M51" s="34"/>
      <c r="N51" s="36">
        <v>9810.714174267177</v>
      </c>
      <c r="P51" s="4">
        <v>0.6899685989897276</v>
      </c>
      <c r="Q51" s="4">
        <v>0.31003140101027227</v>
      </c>
    </row>
    <row r="52" spans="1:17" ht="12.75">
      <c r="A52" s="45" t="s">
        <v>78</v>
      </c>
      <c r="B52" s="20"/>
      <c r="C52" s="36">
        <v>1415.0939999999998</v>
      </c>
      <c r="D52" s="36">
        <v>0</v>
      </c>
      <c r="E52" s="36">
        <v>1415.0939999999998</v>
      </c>
      <c r="F52" s="36">
        <v>6558.023982514083</v>
      </c>
      <c r="G52" s="20"/>
      <c r="H52" s="36"/>
      <c r="I52" s="36">
        <v>26.718600000000002</v>
      </c>
      <c r="J52" s="36">
        <v>0</v>
      </c>
      <c r="K52" s="36">
        <v>26.718600000000002</v>
      </c>
      <c r="L52" s="36">
        <v>1279.2884944677514</v>
      </c>
      <c r="M52" s="34"/>
      <c r="N52" s="36">
        <v>7837.312476981834</v>
      </c>
      <c r="P52" s="4">
        <v>0.8367694923195907</v>
      </c>
      <c r="Q52" s="4">
        <v>0.16323050768040936</v>
      </c>
    </row>
    <row r="53" spans="1:17" ht="12.75">
      <c r="A53" s="45" t="s">
        <v>80</v>
      </c>
      <c r="B53" s="20"/>
      <c r="C53" s="36">
        <v>3432.9149999999995</v>
      </c>
      <c r="D53" s="36">
        <v>0</v>
      </c>
      <c r="E53" s="36">
        <v>3432.9149999999995</v>
      </c>
      <c r="F53" s="36">
        <v>18067.3486275277</v>
      </c>
      <c r="G53" s="20"/>
      <c r="H53" s="36"/>
      <c r="I53" s="36">
        <v>488.1184</v>
      </c>
      <c r="J53" s="36">
        <v>0</v>
      </c>
      <c r="K53" s="36">
        <v>488.1184</v>
      </c>
      <c r="L53" s="36">
        <v>29731.33058320179</v>
      </c>
      <c r="M53" s="34"/>
      <c r="N53" s="36">
        <v>47798.67921072949</v>
      </c>
      <c r="P53" s="4">
        <v>0.37798844917606167</v>
      </c>
      <c r="Q53" s="4">
        <v>0.6220115508239383</v>
      </c>
    </row>
    <row r="54" spans="1:17" ht="12.75">
      <c r="A54" s="45" t="s">
        <v>83</v>
      </c>
      <c r="B54" s="20"/>
      <c r="C54" s="36">
        <v>5015.722400000001</v>
      </c>
      <c r="D54" s="36">
        <v>152.368</v>
      </c>
      <c r="E54" s="36">
        <v>5168.090399999999</v>
      </c>
      <c r="F54" s="36">
        <v>29938.347547054145</v>
      </c>
      <c r="G54" s="20"/>
      <c r="H54" s="36"/>
      <c r="I54" s="36">
        <v>1272.127</v>
      </c>
      <c r="J54" s="36">
        <v>16.0296</v>
      </c>
      <c r="K54" s="36">
        <v>1288.1566</v>
      </c>
      <c r="L54" s="36">
        <v>83263.99169721245</v>
      </c>
      <c r="M54" s="34"/>
      <c r="N54" s="36">
        <v>113202.3392442666</v>
      </c>
      <c r="P54" s="4">
        <v>0.264467569724452</v>
      </c>
      <c r="Q54" s="4">
        <v>0.735532430275548</v>
      </c>
    </row>
    <row r="55" spans="1:17" ht="12.75">
      <c r="A55" s="45" t="s">
        <v>85</v>
      </c>
      <c r="B55" s="20"/>
      <c r="C55" s="36">
        <v>2348.4744000000005</v>
      </c>
      <c r="D55" s="36">
        <v>74.17959999999998</v>
      </c>
      <c r="E55" s="36">
        <v>2422.654</v>
      </c>
      <c r="F55" s="36">
        <v>14034.24704766405</v>
      </c>
      <c r="G55" s="20"/>
      <c r="H55" s="36"/>
      <c r="I55" s="36">
        <v>526.704</v>
      </c>
      <c r="J55" s="36">
        <v>11.965200000000001</v>
      </c>
      <c r="K55" s="36">
        <v>538.6692</v>
      </c>
      <c r="L55" s="36">
        <v>34818.55218250954</v>
      </c>
      <c r="M55" s="34"/>
      <c r="N55" s="36">
        <v>48852.799230173594</v>
      </c>
      <c r="P55" s="4">
        <v>0.28727621075592114</v>
      </c>
      <c r="Q55" s="4">
        <v>0.7127237892440789</v>
      </c>
    </row>
    <row r="56" spans="1:17" ht="12.75">
      <c r="A56" s="45" t="s">
        <v>87</v>
      </c>
      <c r="B56" s="20"/>
      <c r="C56" s="36">
        <v>834.6826000000001</v>
      </c>
      <c r="D56" s="36">
        <v>0</v>
      </c>
      <c r="E56" s="36">
        <v>834.6826000000001</v>
      </c>
      <c r="F56" s="36">
        <v>4835.251676379108</v>
      </c>
      <c r="G56" s="20"/>
      <c r="H56" s="36"/>
      <c r="I56" s="36">
        <v>404.477</v>
      </c>
      <c r="J56" s="36">
        <v>0</v>
      </c>
      <c r="K56" s="36">
        <v>404.477</v>
      </c>
      <c r="L56" s="36">
        <v>26144.623696927378</v>
      </c>
      <c r="M56" s="34"/>
      <c r="N56" s="36">
        <v>30979.875373306488</v>
      </c>
      <c r="P56" s="4">
        <v>0.15607718294907527</v>
      </c>
      <c r="Q56" s="4">
        <v>0.8439228170509246</v>
      </c>
    </row>
    <row r="57" spans="1:17" ht="12.75">
      <c r="A57" s="45" t="s">
        <v>89</v>
      </c>
      <c r="B57" s="20"/>
      <c r="C57" s="36">
        <v>995.231</v>
      </c>
      <c r="D57" s="36">
        <v>0</v>
      </c>
      <c r="E57" s="36">
        <v>995.231</v>
      </c>
      <c r="F57" s="36">
        <v>5765.296127096044</v>
      </c>
      <c r="G57" s="20"/>
      <c r="H57" s="36"/>
      <c r="I57" s="36">
        <v>219.44879999999998</v>
      </c>
      <c r="J57" s="36">
        <v>0</v>
      </c>
      <c r="K57" s="36">
        <v>219.44879999999998</v>
      </c>
      <c r="L57" s="36">
        <v>14184.752895077534</v>
      </c>
      <c r="M57" s="34"/>
      <c r="N57" s="36">
        <v>19950.049022173578</v>
      </c>
      <c r="P57" s="4">
        <v>0.28898656442839704</v>
      </c>
      <c r="Q57" s="4">
        <v>0.711013435571603</v>
      </c>
    </row>
    <row r="58" spans="1:17" ht="12.75">
      <c r="A58" s="45" t="s">
        <v>90</v>
      </c>
      <c r="B58" s="20"/>
      <c r="C58" s="36">
        <v>926.7850249999999</v>
      </c>
      <c r="D58" s="36">
        <v>0</v>
      </c>
      <c r="E58" s="36">
        <v>926.7850249999999</v>
      </c>
      <c r="F58" s="36">
        <v>5368.793893360547</v>
      </c>
      <c r="G58" s="20"/>
      <c r="H58" s="36"/>
      <c r="I58" s="36">
        <v>129.749025</v>
      </c>
      <c r="J58" s="36">
        <v>0</v>
      </c>
      <c r="K58" s="36">
        <v>129.749025</v>
      </c>
      <c r="L58" s="36">
        <v>8386.730107443</v>
      </c>
      <c r="M58" s="34"/>
      <c r="N58" s="36">
        <v>13755.524000803547</v>
      </c>
      <c r="P58" s="4">
        <v>0.3903009360491772</v>
      </c>
      <c r="Q58" s="4">
        <v>0.6096990639508229</v>
      </c>
    </row>
    <row r="59" spans="1:17" ht="12.75">
      <c r="A59" s="45" t="s">
        <v>93</v>
      </c>
      <c r="B59" s="20"/>
      <c r="C59" s="36">
        <v>1270.839775</v>
      </c>
      <c r="D59" s="36">
        <v>0</v>
      </c>
      <c r="E59" s="36">
        <v>1270.839775</v>
      </c>
      <c r="F59" s="36">
        <v>7361.876421621823</v>
      </c>
      <c r="G59" s="20"/>
      <c r="H59" s="36"/>
      <c r="I59" s="36">
        <v>268.982625</v>
      </c>
      <c r="J59" s="36">
        <v>0</v>
      </c>
      <c r="K59" s="36">
        <v>268.982625</v>
      </c>
      <c r="L59" s="36">
        <v>17386.52509694428</v>
      </c>
      <c r="M59" s="34"/>
      <c r="N59" s="36">
        <v>24748.401518566097</v>
      </c>
      <c r="P59" s="4">
        <v>0.29746876444116965</v>
      </c>
      <c r="Q59" s="4">
        <v>0.7025312355588306</v>
      </c>
    </row>
    <row r="60" spans="1:17" ht="12.75">
      <c r="A60" s="45" t="s">
        <v>94</v>
      </c>
      <c r="B60" s="20"/>
      <c r="C60" s="36">
        <v>2490.94</v>
      </c>
      <c r="D60" s="36">
        <v>0</v>
      </c>
      <c r="E60" s="36">
        <v>2490.94</v>
      </c>
      <c r="F60" s="36">
        <v>14429.822558610636</v>
      </c>
      <c r="G60" s="20"/>
      <c r="H60" s="36"/>
      <c r="I60" s="36">
        <v>278.92587566895656</v>
      </c>
      <c r="J60" s="36">
        <v>0</v>
      </c>
      <c r="K60" s="36">
        <v>278.92587566895656</v>
      </c>
      <c r="L60" s="36">
        <v>18029.237901539076</v>
      </c>
      <c r="M60" s="34"/>
      <c r="N60" s="36">
        <v>32459.06046014971</v>
      </c>
      <c r="P60" s="4">
        <v>0.44455453589996125</v>
      </c>
      <c r="Q60" s="4">
        <v>0.5554454641000388</v>
      </c>
    </row>
    <row r="61" spans="1:17" ht="12.75">
      <c r="A61" s="45" t="s">
        <v>96</v>
      </c>
      <c r="B61" s="20"/>
      <c r="C61" s="36">
        <v>4313.544</v>
      </c>
      <c r="D61" s="36">
        <v>0</v>
      </c>
      <c r="E61" s="36">
        <v>4313.544</v>
      </c>
      <c r="F61" s="36">
        <v>24988.02641523262</v>
      </c>
      <c r="G61" s="20"/>
      <c r="H61" s="36"/>
      <c r="I61" s="36">
        <v>516.6035577073845</v>
      </c>
      <c r="J61" s="36"/>
      <c r="K61" s="36">
        <v>516.6035577073845</v>
      </c>
      <c r="L61" s="36">
        <v>33392.27104817697</v>
      </c>
      <c r="M61" s="34"/>
      <c r="N61" s="36">
        <v>58380.2974634096</v>
      </c>
      <c r="P61" s="4">
        <v>0.42802156722298473</v>
      </c>
      <c r="Q61" s="4">
        <v>0.571978432777015</v>
      </c>
    </row>
    <row r="62" spans="1:17" ht="12.75">
      <c r="A62" s="45" t="s">
        <v>98</v>
      </c>
      <c r="B62" s="20"/>
      <c r="C62" s="36">
        <v>3633.2119999999995</v>
      </c>
      <c r="D62" s="36">
        <v>0</v>
      </c>
      <c r="E62" s="36">
        <v>3633.2119999999995</v>
      </c>
      <c r="F62" s="36">
        <v>21046.91581403601</v>
      </c>
      <c r="G62" s="20"/>
      <c r="H62" s="36"/>
      <c r="I62" s="36">
        <v>1523.1151821296671</v>
      </c>
      <c r="J62" s="36"/>
      <c r="K62" s="36">
        <v>1523.1151821296671</v>
      </c>
      <c r="L62" s="36">
        <v>98451.26739927648</v>
      </c>
      <c r="M62" s="34"/>
      <c r="N62" s="36">
        <v>119498.1832133125</v>
      </c>
      <c r="P62" s="4">
        <v>0.17612749623536797</v>
      </c>
      <c r="Q62" s="4">
        <v>0.823872503764632</v>
      </c>
    </row>
    <row r="63" spans="1:17" ht="12.75">
      <c r="A63" s="45" t="s">
        <v>100</v>
      </c>
      <c r="B63" s="20"/>
      <c r="C63" s="36">
        <v>1089.0120000000002</v>
      </c>
      <c r="D63" s="36">
        <v>0</v>
      </c>
      <c r="E63" s="36">
        <v>1089.0120000000002</v>
      </c>
      <c r="F63" s="36">
        <v>6308.56219908857</v>
      </c>
      <c r="G63" s="20"/>
      <c r="H63" s="36"/>
      <c r="I63" s="36">
        <v>694.5990924484996</v>
      </c>
      <c r="J63" s="36"/>
      <c r="K63" s="36">
        <v>694.5990924484996</v>
      </c>
      <c r="L63" s="36">
        <v>44897.56374847839</v>
      </c>
      <c r="M63" s="34"/>
      <c r="N63" s="36">
        <v>51206.12594756696</v>
      </c>
      <c r="P63" s="4">
        <v>0.12319936496559587</v>
      </c>
      <c r="Q63" s="4">
        <v>0.8768006350344041</v>
      </c>
    </row>
    <row r="64" spans="1:17" ht="12.75">
      <c r="A64" s="45" t="s">
        <v>101</v>
      </c>
      <c r="B64" s="20"/>
      <c r="C64" s="36">
        <v>79.145</v>
      </c>
      <c r="D64" s="36">
        <v>0</v>
      </c>
      <c r="E64" s="36">
        <v>79.145</v>
      </c>
      <c r="F64" s="36">
        <v>458.4808571869409</v>
      </c>
      <c r="G64" s="20"/>
      <c r="H64" s="36"/>
      <c r="I64" s="36">
        <v>743.6563242865252</v>
      </c>
      <c r="J64" s="36"/>
      <c r="K64" s="36">
        <v>743.6563242865252</v>
      </c>
      <c r="L64" s="36">
        <v>48068.52987515087</v>
      </c>
      <c r="M64" s="34"/>
      <c r="N64" s="36">
        <v>48527.01073233781</v>
      </c>
      <c r="P64" s="4">
        <v>0.00944795177505988</v>
      </c>
      <c r="Q64" s="4">
        <v>0.99055204822494</v>
      </c>
    </row>
    <row r="65" spans="1:17" ht="12.75">
      <c r="A65" s="45" t="s">
        <v>103</v>
      </c>
      <c r="B65" s="20"/>
      <c r="C65" s="36">
        <v>3148.2065000000002</v>
      </c>
      <c r="D65" s="36">
        <v>0</v>
      </c>
      <c r="E65" s="36">
        <v>3148.2065000000002</v>
      </c>
      <c r="F65" s="36">
        <v>18237.31650415692</v>
      </c>
      <c r="G65" s="20"/>
      <c r="H65" s="36"/>
      <c r="I65" s="36">
        <v>442.1352257027509</v>
      </c>
      <c r="J65" s="36"/>
      <c r="K65" s="36">
        <v>442.1352257027509</v>
      </c>
      <c r="L65" s="36">
        <v>28578.779755473057</v>
      </c>
      <c r="M65" s="34"/>
      <c r="N65" s="36">
        <v>46816.09625962997</v>
      </c>
      <c r="P65" s="4">
        <v>0.38955226858338365</v>
      </c>
      <c r="Q65" s="4">
        <v>0.6104477314166163</v>
      </c>
    </row>
    <row r="66" spans="1:17" ht="12.75">
      <c r="A66" s="45" t="s">
        <v>107</v>
      </c>
      <c r="B66" s="20"/>
      <c r="C66" s="36">
        <v>9244.7005</v>
      </c>
      <c r="D66" s="36">
        <v>0</v>
      </c>
      <c r="E66" s="36">
        <v>9244.7005</v>
      </c>
      <c r="F66" s="36">
        <v>60248.024971944185</v>
      </c>
      <c r="G66" s="20"/>
      <c r="H66" s="36"/>
      <c r="I66" s="36">
        <v>736.4210274787099</v>
      </c>
      <c r="J66" s="36"/>
      <c r="K66" s="36">
        <v>736.4210274787099</v>
      </c>
      <c r="L66" s="36">
        <v>54079.254896926825</v>
      </c>
      <c r="M66" s="34"/>
      <c r="N66" s="36">
        <v>114327.279868871</v>
      </c>
      <c r="P66" s="4">
        <v>0.5269785570079718</v>
      </c>
      <c r="Q66" s="4">
        <v>0.47302144299202825</v>
      </c>
    </row>
    <row r="67" spans="1:17" ht="12.75">
      <c r="A67" s="45" t="s">
        <v>110</v>
      </c>
      <c r="B67" s="20"/>
      <c r="C67" s="36">
        <v>4616.832</v>
      </c>
      <c r="D67" s="36">
        <v>0</v>
      </c>
      <c r="E67" s="36">
        <v>4616.832</v>
      </c>
      <c r="F67" s="36">
        <v>30088.07125642854</v>
      </c>
      <c r="G67" s="20"/>
      <c r="H67" s="36"/>
      <c r="I67" s="36">
        <v>189.15964849865358</v>
      </c>
      <c r="J67" s="36"/>
      <c r="K67" s="36">
        <v>189.15964849865358</v>
      </c>
      <c r="L67" s="36">
        <v>13890.97154669431</v>
      </c>
      <c r="M67" s="34"/>
      <c r="N67" s="36">
        <v>43979.04280312285</v>
      </c>
      <c r="P67" s="4">
        <v>0.6841456598116786</v>
      </c>
      <c r="Q67" s="4">
        <v>0.31585434018832137</v>
      </c>
    </row>
    <row r="68" spans="1:17" ht="12.75">
      <c r="A68" s="45" t="s">
        <v>112</v>
      </c>
      <c r="B68" s="20"/>
      <c r="C68" s="36">
        <v>5684.093999999999</v>
      </c>
      <c r="D68" s="36">
        <v>0</v>
      </c>
      <c r="E68" s="36">
        <v>5684.093999999999</v>
      </c>
      <c r="F68" s="36">
        <v>37043.458653084606</v>
      </c>
      <c r="G68" s="20"/>
      <c r="H68" s="20"/>
      <c r="I68" s="36">
        <v>406.71882832504554</v>
      </c>
      <c r="J68" s="36"/>
      <c r="K68" s="36">
        <v>406.71882832504554</v>
      </c>
      <c r="L68" s="36">
        <v>29826.052098038275</v>
      </c>
      <c r="M68" s="34"/>
      <c r="N68" s="36">
        <v>66869.5107511229</v>
      </c>
      <c r="P68" s="4">
        <v>0.5539663478465416</v>
      </c>
      <c r="Q68" s="4">
        <v>0.4460336521534581</v>
      </c>
    </row>
    <row r="69" spans="1:17" ht="12.75">
      <c r="A69" s="45" t="s">
        <v>114</v>
      </c>
      <c r="B69" s="20"/>
      <c r="C69" s="36">
        <v>5707.031999999999</v>
      </c>
      <c r="D69" s="36">
        <v>0</v>
      </c>
      <c r="E69" s="36">
        <v>5707.031999999999</v>
      </c>
      <c r="F69" s="36">
        <v>100776.32421749443</v>
      </c>
      <c r="G69" s="20"/>
      <c r="H69" s="36"/>
      <c r="I69" s="36">
        <v>963.7923382448059</v>
      </c>
      <c r="J69" s="39"/>
      <c r="K69" s="36">
        <v>963.7923382448059</v>
      </c>
      <c r="L69" s="36">
        <v>79997.50807499999</v>
      </c>
      <c r="M69" s="34"/>
      <c r="N69" s="36">
        <v>180773.83229249442</v>
      </c>
      <c r="P69" s="4">
        <v>0.5574718582855345</v>
      </c>
      <c r="Q69" s="4">
        <v>0.4425281417144655</v>
      </c>
    </row>
    <row r="70" spans="1:17" ht="12.75">
      <c r="A70" s="45" t="s">
        <v>119</v>
      </c>
      <c r="B70" s="20"/>
      <c r="C70" s="36">
        <v>22029.731</v>
      </c>
      <c r="D70" s="36">
        <v>0</v>
      </c>
      <c r="E70" s="36">
        <v>22029.731</v>
      </c>
      <c r="F70" s="36">
        <v>402892.43600000005</v>
      </c>
      <c r="G70" s="20"/>
      <c r="H70" s="36"/>
      <c r="I70" s="36">
        <v>1992.0834378125867</v>
      </c>
      <c r="J70" s="39"/>
      <c r="K70" s="36">
        <v>1992.0834378125867</v>
      </c>
      <c r="L70" s="36">
        <v>188860.92199999996</v>
      </c>
      <c r="M70" s="34"/>
      <c r="N70" s="36">
        <v>591753.358</v>
      </c>
      <c r="P70" s="4">
        <v>0.6808452044305933</v>
      </c>
      <c r="Q70" s="4">
        <v>0.31915479556940674</v>
      </c>
    </row>
    <row r="71" spans="1:17" ht="12.75">
      <c r="A71" s="45" t="s">
        <v>126</v>
      </c>
      <c r="B71" s="20"/>
      <c r="C71" s="36">
        <v>9428.8552</v>
      </c>
      <c r="D71" s="34"/>
      <c r="E71" s="36">
        <v>9428.8552</v>
      </c>
      <c r="F71" s="36">
        <v>121874.56899999999</v>
      </c>
      <c r="G71" s="20"/>
      <c r="H71" s="36"/>
      <c r="I71" s="36">
        <v>166.80022853196678</v>
      </c>
      <c r="J71" s="39"/>
      <c r="K71" s="36">
        <v>166.80022853196678</v>
      </c>
      <c r="L71" s="36">
        <v>16023.336480000002</v>
      </c>
      <c r="M71" s="34"/>
      <c r="N71" s="36">
        <v>137897.90548000002</v>
      </c>
      <c r="P71" s="4">
        <v>0.8838029016885687</v>
      </c>
      <c r="Q71" s="4">
        <v>0.11619709831143114</v>
      </c>
    </row>
    <row r="72" spans="1:17" ht="12.75">
      <c r="A72" s="45" t="s">
        <v>131</v>
      </c>
      <c r="B72" s="20"/>
      <c r="C72" s="36">
        <v>4152.477499999999</v>
      </c>
      <c r="D72" s="34"/>
      <c r="E72" s="36">
        <v>4152.477499999999</v>
      </c>
      <c r="F72" s="36">
        <v>36023.66249999999</v>
      </c>
      <c r="G72" s="20"/>
      <c r="H72" s="36"/>
      <c r="I72" s="36">
        <v>261.1424643351897</v>
      </c>
      <c r="J72" s="39"/>
      <c r="K72" s="36">
        <v>261.1424643351897</v>
      </c>
      <c r="L72" s="36">
        <v>23955.866759999997</v>
      </c>
      <c r="M72" s="34"/>
      <c r="N72" s="36">
        <v>59979.52926</v>
      </c>
      <c r="P72" s="4">
        <v>0.6005992868640928</v>
      </c>
      <c r="Q72" s="4">
        <v>0.3994007131359069</v>
      </c>
    </row>
    <row r="73" spans="1:17" ht="12.75">
      <c r="A73" s="45" t="s">
        <v>136</v>
      </c>
      <c r="B73" s="20"/>
      <c r="C73" s="36">
        <v>24263.302600000003</v>
      </c>
      <c r="D73" s="34"/>
      <c r="E73" s="36">
        <v>24263.302600000003</v>
      </c>
      <c r="F73" s="36">
        <v>210873.24748377758</v>
      </c>
      <c r="G73" s="20"/>
      <c r="H73" s="36"/>
      <c r="I73" s="36">
        <v>255.82783956574772</v>
      </c>
      <c r="J73" s="36"/>
      <c r="K73" s="36">
        <v>255.82783956574772</v>
      </c>
      <c r="L73" s="36">
        <v>24682.712450208757</v>
      </c>
      <c r="M73" s="34"/>
      <c r="N73" s="36">
        <v>235555.95993398633</v>
      </c>
      <c r="P73" s="4">
        <v>0.895215079859894</v>
      </c>
      <c r="Q73" s="4">
        <v>0.10478492014010596</v>
      </c>
    </row>
    <row r="74" spans="1:17" ht="12.75">
      <c r="A74" s="45" t="s">
        <v>137</v>
      </c>
      <c r="B74" s="20"/>
      <c r="C74" s="36">
        <v>11097.4318</v>
      </c>
      <c r="D74" s="34"/>
      <c r="E74" s="36">
        <v>11097.4318</v>
      </c>
      <c r="F74" s="36">
        <v>96429.85168524098</v>
      </c>
      <c r="G74" s="20"/>
      <c r="H74" s="36"/>
      <c r="I74" s="36">
        <v>236.16042058685903</v>
      </c>
      <c r="J74" s="36"/>
      <c r="K74" s="36">
        <v>236.16042058685903</v>
      </c>
      <c r="L74" s="36">
        <v>22790.897136213433</v>
      </c>
      <c r="M74" s="34"/>
      <c r="N74" s="36">
        <v>119220.74882145443</v>
      </c>
      <c r="P74" s="4">
        <v>0.808834474187499</v>
      </c>
      <c r="Q74" s="4">
        <v>0.1911655258125009</v>
      </c>
    </row>
    <row r="75" spans="1:17" ht="12.75">
      <c r="A75" s="45" t="s">
        <v>139</v>
      </c>
      <c r="B75" s="20"/>
      <c r="C75" s="36">
        <v>8806.1662</v>
      </c>
      <c r="D75" s="34"/>
      <c r="E75" s="36">
        <v>8806.1662</v>
      </c>
      <c r="F75" s="36">
        <v>76520.16393392769</v>
      </c>
      <c r="G75" s="20"/>
      <c r="H75" s="36"/>
      <c r="I75" s="36">
        <v>102.63319943361721</v>
      </c>
      <c r="J75" s="36"/>
      <c r="K75" s="36">
        <v>102.63319943361721</v>
      </c>
      <c r="L75" s="36">
        <v>9934.572303302484</v>
      </c>
      <c r="M75" s="34"/>
      <c r="N75" s="36">
        <v>86454.73623723016</v>
      </c>
      <c r="P75" s="4">
        <v>0.8850893226249377</v>
      </c>
      <c r="Q75" s="4">
        <v>0.11491067737506255</v>
      </c>
    </row>
    <row r="76" spans="1:17" ht="12.75">
      <c r="A76" s="45" t="s">
        <v>141</v>
      </c>
      <c r="B76" s="20"/>
      <c r="C76" s="36">
        <v>8071.535000000001</v>
      </c>
      <c r="D76" s="34"/>
      <c r="E76" s="36">
        <v>8071.535000000001</v>
      </c>
      <c r="F76" s="36">
        <v>70489.33363192315</v>
      </c>
      <c r="G76" s="20"/>
      <c r="H76" s="36"/>
      <c r="I76" s="36">
        <v>76.19679298926587</v>
      </c>
      <c r="J76" s="36"/>
      <c r="K76" s="36">
        <v>76.19679298926587</v>
      </c>
      <c r="L76" s="36">
        <v>7416.22630875675</v>
      </c>
      <c r="M76" s="34"/>
      <c r="N76" s="36">
        <v>77905.55994067989</v>
      </c>
      <c r="P76" s="4">
        <v>0.9048049161779502</v>
      </c>
      <c r="Q76" s="4">
        <v>0.09519508382204984</v>
      </c>
    </row>
    <row r="77" spans="1:17" ht="12.75">
      <c r="A77" s="45" t="s">
        <v>145</v>
      </c>
      <c r="B77" s="20"/>
      <c r="C77" s="36">
        <v>16056.314000000002</v>
      </c>
      <c r="D77" s="34"/>
      <c r="E77" s="36">
        <v>16056.314000000002</v>
      </c>
      <c r="F77" s="36">
        <v>139852.039164622</v>
      </c>
      <c r="G77" s="20"/>
      <c r="H77" s="36"/>
      <c r="I77" s="36">
        <v>337.31778164665093</v>
      </c>
      <c r="J77" s="36"/>
      <c r="K77" s="36">
        <v>337.31778164665093</v>
      </c>
      <c r="L77" s="36">
        <v>32770.994864131804</v>
      </c>
      <c r="M77" s="34"/>
      <c r="N77" s="36">
        <v>172623.0340287538</v>
      </c>
      <c r="P77" s="4">
        <v>0.810158620785954</v>
      </c>
      <c r="Q77" s="4">
        <v>0.18984137921404592</v>
      </c>
    </row>
    <row r="78" spans="1:17" ht="12.75">
      <c r="A78" s="45" t="s">
        <v>147</v>
      </c>
      <c r="B78" s="20"/>
      <c r="C78" s="36">
        <v>6405.349399999999</v>
      </c>
      <c r="D78" s="34"/>
      <c r="E78" s="36">
        <v>6405.349399999999</v>
      </c>
      <c r="F78" s="36">
        <v>55658.54368522881</v>
      </c>
      <c r="G78" s="20"/>
      <c r="H78" s="36"/>
      <c r="I78" s="36">
        <v>185.2058399059643</v>
      </c>
      <c r="J78" s="36"/>
      <c r="K78" s="36">
        <v>185.2058399059643</v>
      </c>
      <c r="L78" s="36">
        <v>17957.030944032816</v>
      </c>
      <c r="M78" s="34"/>
      <c r="N78" s="36">
        <v>73615.57462926162</v>
      </c>
      <c r="P78" s="4">
        <v>0.7560702197263698</v>
      </c>
      <c r="Q78" s="4">
        <v>0.24392978027363024</v>
      </c>
    </row>
    <row r="79" spans="1:17" ht="12.75">
      <c r="A79" s="45" t="s">
        <v>149</v>
      </c>
      <c r="B79" s="20"/>
      <c r="C79" s="36">
        <v>18653.3626</v>
      </c>
      <c r="D79" s="34"/>
      <c r="E79" s="36">
        <v>18653.3626</v>
      </c>
      <c r="F79" s="36">
        <v>162086.23953417953</v>
      </c>
      <c r="G79" s="20"/>
      <c r="H79" s="36"/>
      <c r="I79" s="36">
        <v>178.4982718875066</v>
      </c>
      <c r="J79" s="36"/>
      <c r="K79" s="36">
        <v>178.4982718875066</v>
      </c>
      <c r="L79" s="36">
        <v>17306.68424585199</v>
      </c>
      <c r="M79" s="34"/>
      <c r="N79" s="36">
        <v>179392.9237800315</v>
      </c>
      <c r="P79" s="4">
        <v>0.9035263828629432</v>
      </c>
      <c r="Q79" s="4">
        <v>0.0964736171370569</v>
      </c>
    </row>
    <row r="80" spans="1:17" ht="12.75">
      <c r="A80" s="45" t="s">
        <v>151</v>
      </c>
      <c r="B80" s="20"/>
      <c r="C80" s="36">
        <v>7461.689686025</v>
      </c>
      <c r="D80" s="34"/>
      <c r="E80" s="36">
        <v>7461.689686025</v>
      </c>
      <c r="F80" s="36">
        <v>64837.49057549362</v>
      </c>
      <c r="G80" s="20"/>
      <c r="H80" s="36"/>
      <c r="I80" s="36">
        <v>131.63665396365576</v>
      </c>
      <c r="J80" s="36"/>
      <c r="K80" s="36">
        <v>131.63665396365576</v>
      </c>
      <c r="L80" s="36">
        <v>12736.567906941395</v>
      </c>
      <c r="M80" s="34"/>
      <c r="N80" s="36">
        <v>77574.058482435</v>
      </c>
      <c r="P80" s="4">
        <v>0.8358140832630885</v>
      </c>
      <c r="Q80" s="4">
        <v>0.16418591673691174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290"/>
  <sheetViews>
    <sheetView defaultGridColor="0" zoomScale="90" zoomScaleNormal="90" colorId="0"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/>
  <cols>
    <col min="1" max="1" width="8.140625" style="58" customWidth="1"/>
    <col min="2" max="2" width="8.28125" style="0" customWidth="1"/>
    <col min="3" max="3" width="11.421875" style="34" customWidth="1"/>
    <col min="4" max="4" width="9.7109375" style="0" customWidth="1"/>
    <col min="5" max="5" width="10.7109375" style="0" customWidth="1"/>
    <col min="6" max="6" width="12.421875" style="0" customWidth="1"/>
    <col min="8" max="8" width="10.7109375" style="0" customWidth="1"/>
    <col min="9" max="9" width="9.7109375" style="0" customWidth="1"/>
    <col min="10" max="10" width="10.57421875" style="0" customWidth="1"/>
    <col min="11" max="11" width="9.7109375" style="34" customWidth="1"/>
    <col min="12" max="13" width="11.8515625" style="0" customWidth="1"/>
    <col min="14" max="14" width="8.421875" style="20" customWidth="1"/>
    <col min="15" max="16" width="7.7109375" style="0" customWidth="1"/>
  </cols>
  <sheetData>
    <row r="1" spans="1:16" ht="12.75">
      <c r="A1" s="59"/>
      <c r="B1" s="20"/>
      <c r="C1" s="35" t="s">
        <v>2</v>
      </c>
      <c r="D1" s="34"/>
      <c r="E1" s="34"/>
      <c r="F1" s="34"/>
      <c r="G1" s="20"/>
      <c r="H1" s="36"/>
      <c r="I1" s="34"/>
      <c r="J1" s="34"/>
      <c r="K1" s="34"/>
      <c r="L1" s="34"/>
      <c r="M1" s="34"/>
      <c r="N1" s="36"/>
      <c r="O1" s="4"/>
      <c r="P1" s="4"/>
    </row>
    <row r="2" spans="1:16" ht="12.75">
      <c r="A2" s="59"/>
      <c r="B2" s="20"/>
      <c r="C2" s="36"/>
      <c r="D2" s="34"/>
      <c r="E2" s="34"/>
      <c r="F2" s="34"/>
      <c r="G2" s="20"/>
      <c r="H2" s="36"/>
      <c r="I2" s="34"/>
      <c r="J2" s="34"/>
      <c r="K2" s="34"/>
      <c r="L2" s="34"/>
      <c r="M2" s="34"/>
      <c r="N2" s="36"/>
      <c r="O2" s="4"/>
      <c r="P2" s="4"/>
    </row>
    <row r="3" spans="1:16" ht="12.75">
      <c r="A3" s="59"/>
      <c r="B3" s="20"/>
      <c r="C3" s="37" t="s">
        <v>285</v>
      </c>
      <c r="D3" s="34"/>
      <c r="E3" s="34"/>
      <c r="F3" s="34"/>
      <c r="G3" s="20"/>
      <c r="H3" s="34"/>
      <c r="I3" s="35" t="s">
        <v>201</v>
      </c>
      <c r="J3" s="34"/>
      <c r="K3" s="34"/>
      <c r="L3" s="34"/>
      <c r="M3" s="34"/>
      <c r="N3" s="36"/>
      <c r="O3" s="4"/>
      <c r="P3" s="4"/>
    </row>
    <row r="4" spans="1:16" ht="12.75">
      <c r="A4" s="59"/>
      <c r="C4" s="34"/>
      <c r="D4" s="34"/>
      <c r="E4" s="34"/>
      <c r="F4" s="34"/>
      <c r="G4" s="20"/>
      <c r="H4" s="6"/>
      <c r="I4" s="34"/>
      <c r="J4" s="34"/>
      <c r="K4" s="34"/>
      <c r="L4" s="34"/>
      <c r="M4" s="35" t="s">
        <v>297</v>
      </c>
      <c r="N4" s="37"/>
      <c r="O4" s="5" t="s">
        <v>266</v>
      </c>
      <c r="P4" s="5" t="s">
        <v>266</v>
      </c>
    </row>
    <row r="5" spans="1:16" ht="12.75">
      <c r="A5" s="59" t="s">
        <v>317</v>
      </c>
      <c r="B5" s="1" t="s">
        <v>301</v>
      </c>
      <c r="C5" s="35" t="s">
        <v>241</v>
      </c>
      <c r="D5" s="35" t="s">
        <v>271</v>
      </c>
      <c r="E5" s="35" t="s">
        <v>296</v>
      </c>
      <c r="F5" s="35" t="s">
        <v>307</v>
      </c>
      <c r="G5" s="37"/>
      <c r="H5" s="1" t="s">
        <v>301</v>
      </c>
      <c r="I5" s="35" t="s">
        <v>241</v>
      </c>
      <c r="J5" s="35" t="s">
        <v>271</v>
      </c>
      <c r="K5" s="35" t="s">
        <v>296</v>
      </c>
      <c r="L5" s="35" t="s">
        <v>307</v>
      </c>
      <c r="M5" s="35" t="s">
        <v>312</v>
      </c>
      <c r="N5" s="37"/>
      <c r="O5" s="5" t="s">
        <v>282</v>
      </c>
      <c r="P5" s="5" t="s">
        <v>198</v>
      </c>
    </row>
    <row r="6" spans="1:16" ht="12.75">
      <c r="A6" s="59"/>
      <c r="B6" s="1" t="s">
        <v>269</v>
      </c>
      <c r="C6" s="35" t="s">
        <v>237</v>
      </c>
      <c r="D6" s="35" t="s">
        <v>237</v>
      </c>
      <c r="E6" s="35" t="s">
        <v>239</v>
      </c>
      <c r="F6" s="35" t="s">
        <v>8</v>
      </c>
      <c r="G6" s="20"/>
      <c r="H6" s="1" t="s">
        <v>269</v>
      </c>
      <c r="I6" s="35" t="s">
        <v>237</v>
      </c>
      <c r="J6" s="35" t="s">
        <v>237</v>
      </c>
      <c r="K6" s="35" t="s">
        <v>239</v>
      </c>
      <c r="L6" s="35" t="s">
        <v>8</v>
      </c>
      <c r="M6" s="35" t="s">
        <v>4</v>
      </c>
      <c r="N6" s="37"/>
      <c r="O6" s="4"/>
      <c r="P6" s="4"/>
    </row>
    <row r="7" spans="1:16" ht="12.75">
      <c r="A7" s="59"/>
      <c r="B7" s="20"/>
      <c r="C7" s="36"/>
      <c r="D7" s="36"/>
      <c r="E7" s="36"/>
      <c r="F7" s="36"/>
      <c r="G7" s="20"/>
      <c r="H7" s="20"/>
      <c r="I7" s="36"/>
      <c r="J7" s="36"/>
      <c r="K7" s="36"/>
      <c r="L7" s="36"/>
      <c r="M7" s="36"/>
      <c r="N7" s="36"/>
      <c r="O7" s="8"/>
      <c r="P7" s="8"/>
    </row>
    <row r="8" spans="1:16" ht="12.75">
      <c r="A8" s="59"/>
      <c r="C8" s="34"/>
      <c r="D8" s="34"/>
      <c r="E8" s="34"/>
      <c r="F8" s="34"/>
      <c r="I8" s="34"/>
      <c r="J8" s="34"/>
      <c r="K8" s="34"/>
      <c r="L8" s="34"/>
      <c r="M8" s="34"/>
      <c r="N8" s="34"/>
      <c r="O8" s="4"/>
      <c r="P8" s="4"/>
    </row>
    <row r="9" spans="1:16" ht="12.75">
      <c r="A9" s="59"/>
      <c r="C9" s="34"/>
      <c r="D9" s="34"/>
      <c r="E9" s="34"/>
      <c r="F9" s="34"/>
      <c r="I9" s="34"/>
      <c r="J9" s="34"/>
      <c r="K9" s="34"/>
      <c r="L9" s="34"/>
      <c r="M9" s="34"/>
      <c r="N9" s="34"/>
      <c r="O9" s="4"/>
      <c r="P9" s="4"/>
    </row>
    <row r="10" spans="1:16" ht="12.75">
      <c r="A10" s="59">
        <v>1426</v>
      </c>
      <c r="B10" s="20"/>
      <c r="C10" s="34">
        <v>562.276</v>
      </c>
      <c r="D10" s="34">
        <v>5046.416</v>
      </c>
      <c r="E10" s="34">
        <v>5608.692</v>
      </c>
      <c r="F10" s="34">
        <v>25992.574801769264</v>
      </c>
      <c r="G10" s="20"/>
      <c r="H10" s="36"/>
      <c r="I10" s="34">
        <v>688.738</v>
      </c>
      <c r="J10" s="34">
        <v>171.007</v>
      </c>
      <c r="K10" s="34">
        <v>859.7450000000001</v>
      </c>
      <c r="L10" s="34">
        <v>41164.652589438716</v>
      </c>
      <c r="M10" s="34">
        <v>67157.22739120798</v>
      </c>
      <c r="N10" s="36"/>
      <c r="O10" s="4">
        <f>F10/M10</f>
        <v>0.38704061813564583</v>
      </c>
      <c r="P10" s="4">
        <f>L10/M10</f>
        <v>0.6129593818643541</v>
      </c>
    </row>
    <row r="11" spans="1:16" ht="12.75">
      <c r="A11" s="59">
        <v>1427</v>
      </c>
      <c r="B11" s="20"/>
      <c r="C11" s="34">
        <v>506.323</v>
      </c>
      <c r="D11" s="34">
        <v>4610.237</v>
      </c>
      <c r="E11" s="34">
        <v>5116.56</v>
      </c>
      <c r="F11" s="34">
        <v>23711.86874368223</v>
      </c>
      <c r="G11" s="20"/>
      <c r="H11" s="36"/>
      <c r="I11" s="34">
        <v>648.146</v>
      </c>
      <c r="J11" s="34">
        <v>94.766</v>
      </c>
      <c r="K11" s="34">
        <v>742.9119999999999</v>
      </c>
      <c r="L11" s="34">
        <v>35570.68012553151</v>
      </c>
      <c r="M11" s="34">
        <v>59282.54886921374</v>
      </c>
      <c r="N11" s="36"/>
      <c r="O11" s="4">
        <f>F11/M11</f>
        <v>0.3999805878116711</v>
      </c>
      <c r="P11" s="4">
        <f>L11/M11</f>
        <v>0.6000194121883289</v>
      </c>
    </row>
    <row r="12" spans="1:16" ht="12.75">
      <c r="A12" s="59">
        <v>1428</v>
      </c>
      <c r="B12" s="20"/>
      <c r="C12" s="34">
        <v>376.652</v>
      </c>
      <c r="D12" s="34">
        <v>5646.787</v>
      </c>
      <c r="E12" s="34">
        <v>6023.439</v>
      </c>
      <c r="F12" s="34">
        <v>27914.65260909215</v>
      </c>
      <c r="G12" s="20"/>
      <c r="H12" s="36"/>
      <c r="I12" s="34">
        <v>588.925</v>
      </c>
      <c r="J12" s="34">
        <v>46.543</v>
      </c>
      <c r="K12" s="34">
        <v>635.468</v>
      </c>
      <c r="L12" s="34">
        <v>30426.253658591133</v>
      </c>
      <c r="M12" s="34">
        <v>58340.906267683284</v>
      </c>
      <c r="N12" s="36"/>
      <c r="O12" s="4">
        <f>F12/M12</f>
        <v>0.4784747854449235</v>
      </c>
      <c r="P12" s="4">
        <f>L12/M12</f>
        <v>0.5215252145550765</v>
      </c>
    </row>
    <row r="13" spans="1:16" ht="12.75">
      <c r="A13" s="59">
        <v>1429</v>
      </c>
      <c r="B13" s="20"/>
      <c r="C13" s="34">
        <v>624.647</v>
      </c>
      <c r="D13" s="34">
        <v>7722.475</v>
      </c>
      <c r="E13" s="34">
        <v>8347.122000000001</v>
      </c>
      <c r="F13" s="34">
        <v>38683.38517509856</v>
      </c>
      <c r="G13" s="20"/>
      <c r="H13" s="36"/>
      <c r="I13" s="34">
        <v>354.79</v>
      </c>
      <c r="J13" s="34">
        <v>36.058</v>
      </c>
      <c r="K13" s="34">
        <v>390.848</v>
      </c>
      <c r="L13" s="34">
        <v>18713.830420970102</v>
      </c>
      <c r="M13" s="34">
        <v>57397.215596068665</v>
      </c>
      <c r="N13" s="36"/>
      <c r="O13" s="4">
        <f>F13/M13</f>
        <v>0.6739592639359343</v>
      </c>
      <c r="P13" s="4">
        <f>L13/M13</f>
        <v>0.32604073606406575</v>
      </c>
    </row>
    <row r="14" spans="1:16" ht="12.75">
      <c r="A14" s="59">
        <v>1430</v>
      </c>
      <c r="B14" s="20"/>
      <c r="C14" s="34">
        <v>616.014</v>
      </c>
      <c r="D14" s="34">
        <v>8581.212</v>
      </c>
      <c r="E14" s="34">
        <v>9197.225999999999</v>
      </c>
      <c r="F14" s="34">
        <v>42623.05449715853</v>
      </c>
      <c r="G14" s="20"/>
      <c r="H14" s="36"/>
      <c r="I14" s="34">
        <v>328.35</v>
      </c>
      <c r="J14" s="34">
        <v>40.069</v>
      </c>
      <c r="K14" s="34">
        <v>368.41900000000004</v>
      </c>
      <c r="L14" s="34">
        <v>17639.928283791614</v>
      </c>
      <c r="M14" s="34">
        <v>60262.982780950144</v>
      </c>
      <c r="N14" s="36"/>
      <c r="O14" s="4">
        <f>F14/M14</f>
        <v>0.7072841822664011</v>
      </c>
      <c r="P14" s="4">
        <f>L14/M14</f>
        <v>0.29271581773359895</v>
      </c>
    </row>
    <row r="15" spans="1:16" ht="12.75">
      <c r="A15" s="59"/>
      <c r="B15" s="20"/>
      <c r="C15" s="36"/>
      <c r="D15" s="36"/>
      <c r="E15" s="36"/>
      <c r="F15" s="36"/>
      <c r="G15" s="20"/>
      <c r="H15" s="36"/>
      <c r="I15" s="36"/>
      <c r="J15" s="36"/>
      <c r="K15" s="36"/>
      <c r="L15" s="36"/>
      <c r="M15" s="36"/>
      <c r="N15" s="36"/>
      <c r="O15" s="8"/>
      <c r="P15" s="4"/>
    </row>
    <row r="16" spans="1:16" ht="12.75">
      <c r="A16" s="59" t="s">
        <v>67</v>
      </c>
      <c r="B16" s="20"/>
      <c r="C16" s="36">
        <f>SUM(C10:C15)/5</f>
        <v>537.1824</v>
      </c>
      <c r="D16" s="36">
        <f>SUM(D10:D15)/5</f>
        <v>6321.4254</v>
      </c>
      <c r="E16" s="36">
        <f>SUM(E10:E15)/5</f>
        <v>6858.607800000001</v>
      </c>
      <c r="F16" s="36">
        <f>SUM(F10:F15)/5</f>
        <v>31785.107165360147</v>
      </c>
      <c r="G16" s="20"/>
      <c r="H16" s="36"/>
      <c r="I16" s="36">
        <f>SUM(I10:I15)/5</f>
        <v>521.7898</v>
      </c>
      <c r="J16" s="36">
        <f>SUM(J10:J15)/5</f>
        <v>77.68860000000001</v>
      </c>
      <c r="K16" s="36">
        <v>599.4784</v>
      </c>
      <c r="L16" s="36">
        <f>SUM(L10:L15)/5</f>
        <v>28703.069015664612</v>
      </c>
      <c r="M16" s="36">
        <f>SUM(M10:M15)/5</f>
        <v>60488.17618102477</v>
      </c>
      <c r="N16" s="36"/>
      <c r="O16" s="4">
        <f>F16/M16</f>
        <v>0.5254763686416318</v>
      </c>
      <c r="P16" s="4">
        <f>L16/M16</f>
        <v>0.474523631358368</v>
      </c>
    </row>
    <row r="17" spans="1:16" ht="12.75">
      <c r="A17" s="59"/>
      <c r="B17" s="20"/>
      <c r="C17" s="36"/>
      <c r="D17" s="36"/>
      <c r="E17" s="36"/>
      <c r="F17" s="36"/>
      <c r="G17" s="20"/>
      <c r="H17" s="36"/>
      <c r="I17" s="36"/>
      <c r="J17" s="36"/>
      <c r="K17" s="36"/>
      <c r="L17" s="36"/>
      <c r="M17" s="36"/>
      <c r="N17" s="36"/>
      <c r="O17" s="4"/>
      <c r="P17" s="4"/>
    </row>
    <row r="18" spans="1:16" ht="12.75">
      <c r="A18" s="59">
        <v>1431</v>
      </c>
      <c r="B18" s="20"/>
      <c r="C18" s="34">
        <v>607.382</v>
      </c>
      <c r="D18" s="34">
        <v>9926.776</v>
      </c>
      <c r="E18" s="34">
        <v>10534.158</v>
      </c>
      <c r="F18" s="34">
        <v>48818.84934823593</v>
      </c>
      <c r="G18" s="20"/>
      <c r="H18" s="36"/>
      <c r="I18" s="34">
        <v>301.909</v>
      </c>
      <c r="J18" s="34">
        <v>42.167</v>
      </c>
      <c r="K18" s="34">
        <v>344.076</v>
      </c>
      <c r="L18" s="34">
        <v>16474.38368860966</v>
      </c>
      <c r="M18" s="34">
        <v>65293.233036845595</v>
      </c>
      <c r="N18" s="36"/>
      <c r="O18" s="4">
        <f>F18/M18</f>
        <v>0.7476862008148224</v>
      </c>
      <c r="P18" s="4">
        <f>L18/M18</f>
        <v>0.25231379918517755</v>
      </c>
    </row>
    <row r="19" spans="1:16" ht="12.75">
      <c r="A19" s="59">
        <v>1432</v>
      </c>
      <c r="B19" s="20"/>
      <c r="C19" s="34">
        <v>474.796</v>
      </c>
      <c r="D19" s="34">
        <v>9662.221</v>
      </c>
      <c r="E19" s="34">
        <v>10137.017</v>
      </c>
      <c r="F19" s="34">
        <v>46978.36369679538</v>
      </c>
      <c r="G19" s="20"/>
      <c r="H19" s="36"/>
      <c r="I19" s="34">
        <v>227.479</v>
      </c>
      <c r="J19" s="34"/>
      <c r="K19" s="34">
        <v>227.479</v>
      </c>
      <c r="L19" s="34">
        <v>10891.710921718566</v>
      </c>
      <c r="M19" s="34">
        <v>57870.07461851394</v>
      </c>
      <c r="N19" s="36"/>
      <c r="O19" s="4">
        <f>F19/M19</f>
        <v>0.8117902734095653</v>
      </c>
      <c r="P19" s="4">
        <f>L19/M19</f>
        <v>0.18820972659043475</v>
      </c>
    </row>
    <row r="20" spans="1:16" ht="12.75">
      <c r="A20" s="59">
        <v>1433</v>
      </c>
      <c r="B20" s="20"/>
      <c r="C20" s="34">
        <v>278.848</v>
      </c>
      <c r="D20" s="34">
        <v>8848.461</v>
      </c>
      <c r="E20" s="34">
        <v>9127.309</v>
      </c>
      <c r="F20" s="34">
        <v>42299.0354830256</v>
      </c>
      <c r="G20" s="20"/>
      <c r="H20" s="36"/>
      <c r="I20" s="34">
        <v>170.516</v>
      </c>
      <c r="J20" s="34"/>
      <c r="K20" s="34">
        <v>170.516</v>
      </c>
      <c r="L20" s="34">
        <v>8164.3183745654005</v>
      </c>
      <c r="M20" s="34">
        <v>50463.353857591</v>
      </c>
      <c r="N20" s="36"/>
      <c r="O20" s="4">
        <f>F20/M20</f>
        <v>0.838212925807402</v>
      </c>
      <c r="P20" s="4">
        <f>L20/M20</f>
        <v>0.161787074192598</v>
      </c>
    </row>
    <row r="21" spans="1:16" ht="12.75">
      <c r="A21" s="59">
        <v>1434</v>
      </c>
      <c r="B21" s="20"/>
      <c r="C21" s="34">
        <v>184.489</v>
      </c>
      <c r="D21" s="34">
        <v>5852.615</v>
      </c>
      <c r="E21" s="34">
        <v>6037.103999999999</v>
      </c>
      <c r="F21" s="34">
        <v>27977.980838680465</v>
      </c>
      <c r="G21" s="20"/>
      <c r="H21" s="36"/>
      <c r="I21" s="34">
        <v>221.013</v>
      </c>
      <c r="J21" s="34"/>
      <c r="K21" s="34">
        <v>221.013</v>
      </c>
      <c r="L21" s="34">
        <v>10582.118375506247</v>
      </c>
      <c r="M21" s="34">
        <v>38560.09921418671</v>
      </c>
      <c r="N21" s="36"/>
      <c r="O21" s="4">
        <f>F21/M21</f>
        <v>0.7255681756230296</v>
      </c>
      <c r="P21" s="4">
        <f>L21/M21</f>
        <v>0.27443182437697056</v>
      </c>
    </row>
    <row r="22" spans="1:16" ht="12.75">
      <c r="A22" s="59">
        <v>1435</v>
      </c>
      <c r="B22" s="20"/>
      <c r="C22" s="34">
        <v>193.308</v>
      </c>
      <c r="D22" s="34">
        <v>4268.829</v>
      </c>
      <c r="E22" s="34">
        <v>4462.137</v>
      </c>
      <c r="F22" s="34">
        <v>20679.051327518482</v>
      </c>
      <c r="G22" s="20"/>
      <c r="H22" s="36"/>
      <c r="I22" s="34">
        <v>140.839</v>
      </c>
      <c r="J22" s="34"/>
      <c r="K22" s="34">
        <v>140.839</v>
      </c>
      <c r="L22" s="34">
        <v>6743.381474790733</v>
      </c>
      <c r="M22" s="34">
        <v>27422.432802309217</v>
      </c>
      <c r="N22" s="36"/>
      <c r="O22" s="4">
        <f>F22/M22</f>
        <v>0.7540925152992669</v>
      </c>
      <c r="P22" s="4">
        <f>L22/M22</f>
        <v>0.245907484700733</v>
      </c>
    </row>
    <row r="23" spans="1:16" ht="12.75">
      <c r="A23" s="59"/>
      <c r="B23" s="20"/>
      <c r="C23" s="36"/>
      <c r="D23" s="36"/>
      <c r="E23" s="36"/>
      <c r="F23" s="36"/>
      <c r="G23" s="20"/>
      <c r="H23" s="36"/>
      <c r="I23" s="36"/>
      <c r="J23" s="36"/>
      <c r="K23" s="36"/>
      <c r="L23" s="36"/>
      <c r="M23" s="36"/>
      <c r="N23" s="36"/>
      <c r="O23" s="4"/>
      <c r="P23" s="4"/>
    </row>
    <row r="24" spans="1:16" ht="12.75">
      <c r="A24" s="59" t="s">
        <v>70</v>
      </c>
      <c r="B24" s="20"/>
      <c r="C24" s="36">
        <f>SUM(C18:C23)/5</f>
        <v>347.7646</v>
      </c>
      <c r="D24" s="36">
        <f>SUM(D18:D23)/5</f>
        <v>7711.780399999999</v>
      </c>
      <c r="E24" s="36">
        <f>SUM(E18:E23)/5</f>
        <v>8059.545</v>
      </c>
      <c r="F24" s="36">
        <f>SUM(F18:F23)/5</f>
        <v>37350.65613885117</v>
      </c>
      <c r="G24" s="20"/>
      <c r="H24" s="36"/>
      <c r="I24" s="36">
        <f>SUM(I18:I23)/5</f>
        <v>212.3512</v>
      </c>
      <c r="J24" s="36">
        <f>SUM(J18:J23)/5</f>
        <v>8.4334</v>
      </c>
      <c r="K24" s="36">
        <v>220.7846</v>
      </c>
      <c r="L24" s="36">
        <f>SUM(L18:L23)/5</f>
        <v>10571.18256703812</v>
      </c>
      <c r="M24" s="36">
        <f>SUM(M18:M23)/5</f>
        <v>47921.83870588929</v>
      </c>
      <c r="N24" s="36"/>
      <c r="O24" s="4">
        <f>F24/M24</f>
        <v>0.7794078263165851</v>
      </c>
      <c r="P24" s="4">
        <f>L24/M24</f>
        <v>0.2205921736834148</v>
      </c>
    </row>
    <row r="25" spans="1:16" ht="12.75">
      <c r="A25" s="59"/>
      <c r="B25" s="20"/>
      <c r="C25" s="36"/>
      <c r="D25" s="36"/>
      <c r="E25" s="36"/>
      <c r="F25" s="36"/>
      <c r="G25" s="20"/>
      <c r="H25" s="36"/>
      <c r="I25" s="36"/>
      <c r="J25" s="36"/>
      <c r="K25" s="36"/>
      <c r="L25" s="36"/>
      <c r="M25" s="36"/>
      <c r="N25" s="36"/>
      <c r="O25" s="4"/>
      <c r="P25" s="4"/>
    </row>
    <row r="26" spans="1:16" ht="12.75">
      <c r="A26" s="59">
        <v>1436</v>
      </c>
      <c r="B26" s="20"/>
      <c r="C26" s="34">
        <v>93.505</v>
      </c>
      <c r="D26" s="34">
        <v>2096.066</v>
      </c>
      <c r="E26" s="34">
        <v>2189.571</v>
      </c>
      <c r="F26" s="34">
        <v>10147.212220119189</v>
      </c>
      <c r="G26" s="20"/>
      <c r="H26" s="36"/>
      <c r="I26" s="34">
        <v>139.589</v>
      </c>
      <c r="J26" s="34"/>
      <c r="K26" s="34">
        <v>139.589</v>
      </c>
      <c r="L26" s="34">
        <v>6683.53138466308</v>
      </c>
      <c r="M26" s="34">
        <v>16830.74360478227</v>
      </c>
      <c r="N26" s="36"/>
      <c r="O26" s="4">
        <f>F26/M26</f>
        <v>0.6028974392572869</v>
      </c>
      <c r="P26" s="4">
        <f>L26/M26</f>
        <v>0.397102560742713</v>
      </c>
    </row>
    <row r="27" spans="1:16" ht="12.75">
      <c r="A27" s="59">
        <v>1437</v>
      </c>
      <c r="B27" s="20"/>
      <c r="C27" s="34">
        <v>177.062</v>
      </c>
      <c r="D27" s="34"/>
      <c r="E27" s="34">
        <v>177.062</v>
      </c>
      <c r="F27" s="34">
        <v>820.5651655592552</v>
      </c>
      <c r="G27" s="20"/>
      <c r="H27" s="36"/>
      <c r="I27" s="34">
        <v>118.272</v>
      </c>
      <c r="J27" s="34"/>
      <c r="K27" s="34">
        <v>118.272</v>
      </c>
      <c r="L27" s="34">
        <v>5662.87188766215</v>
      </c>
      <c r="M27" s="34">
        <v>6483.437053221405</v>
      </c>
      <c r="N27" s="36"/>
      <c r="O27" s="4">
        <f>F27/M27</f>
        <v>0.1265632964156787</v>
      </c>
      <c r="P27" s="4">
        <f>L27/M27</f>
        <v>0.8734367035843212</v>
      </c>
    </row>
    <row r="28" spans="1:16" ht="12.75">
      <c r="A28" s="59">
        <v>1438</v>
      </c>
      <c r="B28" s="20"/>
      <c r="C28" s="34">
        <v>478.264</v>
      </c>
      <c r="D28" s="34"/>
      <c r="E28" s="34">
        <v>478.264</v>
      </c>
      <c r="F28" s="34">
        <v>2216.437057872562</v>
      </c>
      <c r="G28" s="20"/>
      <c r="H28" s="36"/>
      <c r="I28" s="34">
        <v>109.682</v>
      </c>
      <c r="J28" s="34"/>
      <c r="K28" s="34">
        <v>109.682</v>
      </c>
      <c r="L28" s="34">
        <v>5251.582068304923</v>
      </c>
      <c r="M28" s="34">
        <v>7468.019126177485</v>
      </c>
      <c r="N28" s="36"/>
      <c r="O28" s="4">
        <f>F28/M28</f>
        <v>0.2967904902791871</v>
      </c>
      <c r="P28" s="4">
        <f>L28/M28</f>
        <v>0.703209509720813</v>
      </c>
    </row>
    <row r="29" spans="1:16" ht="12.75">
      <c r="A29" s="59">
        <v>1439</v>
      </c>
      <c r="B29" s="20"/>
      <c r="C29" s="34">
        <v>1142.522</v>
      </c>
      <c r="D29" s="34">
        <v>126.13000000000001</v>
      </c>
      <c r="E29" s="34">
        <v>1268.652</v>
      </c>
      <c r="F29" s="34">
        <v>5879.362248348489</v>
      </c>
      <c r="G29" s="20"/>
      <c r="H29" s="36"/>
      <c r="I29" s="34">
        <v>156.324</v>
      </c>
      <c r="J29" s="34"/>
      <c r="K29" s="34">
        <v>156.324</v>
      </c>
      <c r="L29" s="34">
        <v>7484.804391292089</v>
      </c>
      <c r="M29" s="34">
        <v>13364.166639640578</v>
      </c>
      <c r="N29" s="36"/>
      <c r="O29" s="4">
        <f>F29/M29</f>
        <v>0.43993482024604647</v>
      </c>
      <c r="P29" s="4">
        <f>L29/M29</f>
        <v>0.5600651797539535</v>
      </c>
    </row>
    <row r="30" spans="1:16" ht="12.75">
      <c r="A30" s="59">
        <v>1440</v>
      </c>
      <c r="B30" s="20"/>
      <c r="C30" s="34">
        <v>771.575</v>
      </c>
      <c r="D30" s="34"/>
      <c r="E30" s="34">
        <v>771.575</v>
      </c>
      <c r="F30" s="34">
        <v>3575.7393885553215</v>
      </c>
      <c r="G30" s="20"/>
      <c r="H30" s="36"/>
      <c r="I30" s="34">
        <v>137.504</v>
      </c>
      <c r="J30" s="34"/>
      <c r="K30" s="34">
        <v>137.504</v>
      </c>
      <c r="L30" s="34">
        <v>6583.701434330155</v>
      </c>
      <c r="M30" s="34">
        <v>10159.440822885477</v>
      </c>
      <c r="N30" s="36"/>
      <c r="O30" s="4">
        <f>F30/M30</f>
        <v>0.3519622241905773</v>
      </c>
      <c r="P30" s="4">
        <f>L30/M30</f>
        <v>0.6480377758094227</v>
      </c>
    </row>
    <row r="31" spans="1:16" ht="12.75">
      <c r="A31" s="59"/>
      <c r="B31" s="20"/>
      <c r="C31" s="36"/>
      <c r="D31" s="36"/>
      <c r="E31" s="36"/>
      <c r="F31" s="36"/>
      <c r="G31" s="20"/>
      <c r="H31" s="36"/>
      <c r="I31" s="36"/>
      <c r="J31" s="36"/>
      <c r="K31" s="36"/>
      <c r="L31" s="36"/>
      <c r="M31" s="36"/>
      <c r="N31" s="36"/>
      <c r="O31" s="4"/>
      <c r="P31" s="4"/>
    </row>
    <row r="32" spans="1:16" ht="12.75">
      <c r="A32" s="59" t="s">
        <v>71</v>
      </c>
      <c r="B32" s="20"/>
      <c r="C32" s="36">
        <f>SUM(C26:C31)/5</f>
        <v>532.5856</v>
      </c>
      <c r="D32" s="36">
        <f>SUM(D26:D31)/5</f>
        <v>444.43919999999997</v>
      </c>
      <c r="E32" s="36">
        <f>SUM(E26:E31)/5</f>
        <v>977.0247999999999</v>
      </c>
      <c r="F32" s="36">
        <f>SUM(F26:F31)/5</f>
        <v>4527.863216090963</v>
      </c>
      <c r="G32" s="20"/>
      <c r="H32" s="36"/>
      <c r="I32" s="36">
        <f>SUM(I26:I31)/5</f>
        <v>132.2742</v>
      </c>
      <c r="J32" s="36">
        <f>SUM(J26:J31)/5</f>
        <v>0</v>
      </c>
      <c r="K32" s="36">
        <v>132.2742</v>
      </c>
      <c r="L32" s="36">
        <f>SUM(L26:L31)/5</f>
        <v>6333.298233250479</v>
      </c>
      <c r="M32" s="36">
        <f>SUM(M26:M31)/5</f>
        <v>10861.161449341444</v>
      </c>
      <c r="N32" s="36"/>
      <c r="O32" s="4">
        <f>F32/M32</f>
        <v>0.41688572969012494</v>
      </c>
      <c r="P32" s="4">
        <f>L32/M32</f>
        <v>0.5831142703098748</v>
      </c>
    </row>
    <row r="33" spans="1:16" ht="12.75">
      <c r="A33" s="59"/>
      <c r="B33" s="20"/>
      <c r="C33" s="36"/>
      <c r="D33" s="36"/>
      <c r="E33" s="36"/>
      <c r="F33" s="36"/>
      <c r="G33" s="20"/>
      <c r="H33" s="36"/>
      <c r="I33" s="36"/>
      <c r="J33" s="36"/>
      <c r="K33" s="36"/>
      <c r="L33" s="36"/>
      <c r="M33" s="36"/>
      <c r="N33" s="36"/>
      <c r="O33" s="4"/>
      <c r="P33" s="4"/>
    </row>
    <row r="34" spans="1:16" ht="12.75">
      <c r="A34" s="59">
        <v>1441</v>
      </c>
      <c r="B34" s="20"/>
      <c r="C34" s="34">
        <v>396.363</v>
      </c>
      <c r="D34" s="34"/>
      <c r="E34" s="34">
        <v>396.363</v>
      </c>
      <c r="F34" s="34">
        <v>1836.8801364299682</v>
      </c>
      <c r="G34" s="20"/>
      <c r="H34" s="36"/>
      <c r="I34" s="34">
        <v>116.686</v>
      </c>
      <c r="J34" s="34"/>
      <c r="K34" s="34">
        <v>116.686</v>
      </c>
      <c r="L34" s="34">
        <v>5586.934093308185</v>
      </c>
      <c r="M34" s="34">
        <v>7423.814229738153</v>
      </c>
      <c r="N34" s="36"/>
      <c r="O34" s="4">
        <f>F34/M34</f>
        <v>0.24743077878644024</v>
      </c>
      <c r="P34" s="4">
        <f>L34/M34</f>
        <v>0.7525692212135597</v>
      </c>
    </row>
    <row r="35" spans="1:16" ht="12.75">
      <c r="A35" s="59">
        <v>1442</v>
      </c>
      <c r="B35" s="20"/>
      <c r="C35" s="34">
        <v>69.825</v>
      </c>
      <c r="D35" s="34"/>
      <c r="E35" s="34">
        <v>69.825</v>
      </c>
      <c r="F35" s="34">
        <v>323.5926550314296</v>
      </c>
      <c r="G35" s="20"/>
      <c r="H35" s="36"/>
      <c r="I35" s="34">
        <v>97.985</v>
      </c>
      <c r="J35" s="34"/>
      <c r="K35" s="34">
        <v>97.985</v>
      </c>
      <c r="L35" s="34">
        <v>4691.528864926405</v>
      </c>
      <c r="M35" s="34">
        <v>5015.121519957835</v>
      </c>
      <c r="N35" s="36"/>
      <c r="O35" s="4">
        <f>F35/M35</f>
        <v>0.06452339265233802</v>
      </c>
      <c r="P35" s="4">
        <f>L35/M35</f>
        <v>0.9354766073476619</v>
      </c>
    </row>
    <row r="36" spans="1:16" ht="12.75">
      <c r="A36" s="59">
        <v>1443</v>
      </c>
      <c r="B36" s="20"/>
      <c r="C36" s="34">
        <v>69.825</v>
      </c>
      <c r="D36" s="34"/>
      <c r="E36" s="34">
        <v>69.825</v>
      </c>
      <c r="F36" s="34">
        <v>323.5926550314296</v>
      </c>
      <c r="G36" s="20"/>
      <c r="H36" s="36"/>
      <c r="I36" s="34">
        <v>97.985</v>
      </c>
      <c r="J36" s="34"/>
      <c r="K36" s="34">
        <v>97.985</v>
      </c>
      <c r="L36" s="34">
        <v>4691.528864926405</v>
      </c>
      <c r="M36" s="34">
        <v>5015.121519957835</v>
      </c>
      <c r="N36" s="36"/>
      <c r="O36" s="4">
        <f>F36/M36</f>
        <v>0.06452339265233802</v>
      </c>
      <c r="P36" s="4">
        <f>L36/M36</f>
        <v>0.9354766073476619</v>
      </c>
    </row>
    <row r="37" spans="1:16" ht="12.75">
      <c r="A37" s="59">
        <v>1444</v>
      </c>
      <c r="B37" s="20"/>
      <c r="C37" s="34">
        <v>50.405</v>
      </c>
      <c r="D37" s="34"/>
      <c r="E37" s="34">
        <v>50.405</v>
      </c>
      <c r="F37" s="34">
        <v>233.59380990847419</v>
      </c>
      <c r="G37" s="20"/>
      <c r="H37" s="36"/>
      <c r="I37" s="34">
        <v>84.839</v>
      </c>
      <c r="J37" s="34"/>
      <c r="K37" s="34">
        <v>84.839</v>
      </c>
      <c r="L37" s="34">
        <v>4062.0974370719114</v>
      </c>
      <c r="M37" s="34">
        <v>4295.691246980386</v>
      </c>
      <c r="N37" s="36"/>
      <c r="O37" s="4">
        <f>F37/M37</f>
        <v>0.05437863116272071</v>
      </c>
      <c r="P37" s="4">
        <f>L37/M37</f>
        <v>0.9456213688372793</v>
      </c>
    </row>
    <row r="38" spans="1:16" ht="12.75">
      <c r="A38" s="59">
        <v>1445</v>
      </c>
      <c r="B38" s="20"/>
      <c r="C38" s="34">
        <v>67.081</v>
      </c>
      <c r="D38" s="34"/>
      <c r="E38" s="34">
        <v>67.081</v>
      </c>
      <c r="F38" s="34">
        <v>310.8760313951068</v>
      </c>
      <c r="G38" s="20"/>
      <c r="H38" s="36"/>
      <c r="I38" s="34">
        <v>56.396</v>
      </c>
      <c r="J38" s="34"/>
      <c r="K38" s="34">
        <v>56.396</v>
      </c>
      <c r="L38" s="34">
        <v>2700.2445462712612</v>
      </c>
      <c r="M38" s="34">
        <v>3011.1205776663683</v>
      </c>
      <c r="N38" s="36"/>
      <c r="O38" s="4">
        <f>F38/M38</f>
        <v>0.10324263787404923</v>
      </c>
      <c r="P38" s="4">
        <f>L38/M38</f>
        <v>0.8967573621259507</v>
      </c>
    </row>
    <row r="39" spans="1:16" ht="12.75">
      <c r="A39" s="59"/>
      <c r="B39" s="20"/>
      <c r="C39" s="36"/>
      <c r="D39" s="36"/>
      <c r="E39" s="36"/>
      <c r="F39" s="36"/>
      <c r="G39" s="20"/>
      <c r="H39" s="36"/>
      <c r="I39" s="36"/>
      <c r="J39" s="36"/>
      <c r="K39" s="36"/>
      <c r="L39" s="36"/>
      <c r="M39" s="36"/>
      <c r="N39" s="36"/>
      <c r="O39" s="4"/>
      <c r="P39" s="4"/>
    </row>
    <row r="40" spans="1:16" ht="12.75">
      <c r="A40" s="59" t="s">
        <v>73</v>
      </c>
      <c r="B40" s="20"/>
      <c r="C40" s="36">
        <f>SUM(C34:C39)/5</f>
        <v>130.6998</v>
      </c>
      <c r="D40" s="36">
        <f>SUM(D34:D39)/5</f>
        <v>0</v>
      </c>
      <c r="E40" s="36">
        <f>SUM(E34:E39)/5</f>
        <v>130.6998</v>
      </c>
      <c r="F40" s="36">
        <f>SUM(F34:F39)/5</f>
        <v>605.7070575592818</v>
      </c>
      <c r="G40" s="20"/>
      <c r="H40" s="36"/>
      <c r="I40" s="36">
        <f>SUM(I34:I39)/5</f>
        <v>90.7782</v>
      </c>
      <c r="J40" s="36">
        <f>SUM(J34:J39)/5</f>
        <v>0</v>
      </c>
      <c r="K40" s="36">
        <v>90.7782</v>
      </c>
      <c r="L40" s="36">
        <f>SUM(L34:L39)/5</f>
        <v>4346.466761300833</v>
      </c>
      <c r="M40" s="36">
        <f>SUM(M34:M39)/5</f>
        <v>4952.173818860116</v>
      </c>
      <c r="N40" s="36"/>
      <c r="O40" s="4">
        <f>F40/M40</f>
        <v>0.12231134845317336</v>
      </c>
      <c r="P40" s="4">
        <f>L40/M40</f>
        <v>0.8776886515468265</v>
      </c>
    </row>
    <row r="41" spans="1:16" ht="12.75">
      <c r="A41" s="59"/>
      <c r="B41" s="20"/>
      <c r="C41" s="36"/>
      <c r="D41" s="36"/>
      <c r="E41" s="36"/>
      <c r="F41" s="36"/>
      <c r="G41" s="20"/>
      <c r="H41" s="36"/>
      <c r="I41" s="36"/>
      <c r="J41" s="36"/>
      <c r="K41" s="36"/>
      <c r="L41" s="36"/>
      <c r="M41" s="36"/>
      <c r="N41" s="36"/>
      <c r="O41" s="4"/>
      <c r="P41" s="4"/>
    </row>
    <row r="42" spans="1:16" ht="12.75">
      <c r="A42" s="59">
        <v>1446</v>
      </c>
      <c r="B42" s="20"/>
      <c r="C42" s="34">
        <v>439.566</v>
      </c>
      <c r="D42" s="34"/>
      <c r="E42" s="34">
        <v>439.566</v>
      </c>
      <c r="F42" s="34">
        <v>2037.0974436311546</v>
      </c>
      <c r="G42" s="20"/>
      <c r="H42" s="36"/>
      <c r="I42" s="34">
        <v>56.042</v>
      </c>
      <c r="J42" s="34"/>
      <c r="K42" s="34">
        <v>56.042</v>
      </c>
      <c r="L42" s="34">
        <v>2683.29500074711</v>
      </c>
      <c r="M42" s="34">
        <v>4720.392444378264</v>
      </c>
      <c r="N42" s="36"/>
      <c r="O42" s="4">
        <f>F42/M42</f>
        <v>0.43155256001166364</v>
      </c>
      <c r="P42" s="4">
        <f>L42/M42</f>
        <v>0.5684474399883364</v>
      </c>
    </row>
    <row r="43" spans="1:16" ht="12.75">
      <c r="A43" s="59">
        <v>1447</v>
      </c>
      <c r="B43" s="20"/>
      <c r="C43" s="34">
        <v>398.999</v>
      </c>
      <c r="D43" s="34"/>
      <c r="E43" s="34">
        <v>398.999</v>
      </c>
      <c r="F43" s="34">
        <v>1849.0962515558238</v>
      </c>
      <c r="G43" s="20"/>
      <c r="H43" s="36"/>
      <c r="I43" s="34">
        <v>47.595</v>
      </c>
      <c r="J43" s="34"/>
      <c r="K43" s="34">
        <v>47.595</v>
      </c>
      <c r="L43" s="34">
        <v>2278.8520317004873</v>
      </c>
      <c r="M43" s="34">
        <v>4127.948283256311</v>
      </c>
      <c r="N43" s="36"/>
      <c r="O43" s="4">
        <f>F43/M43</f>
        <v>0.44794559540779266</v>
      </c>
      <c r="P43" s="4">
        <f>L43/M43</f>
        <v>0.5520544045922073</v>
      </c>
    </row>
    <row r="44" spans="1:16" ht="12.75">
      <c r="A44" s="59">
        <v>1448</v>
      </c>
      <c r="B44" s="20"/>
      <c r="C44" s="34">
        <v>67.743</v>
      </c>
      <c r="D44" s="34"/>
      <c r="E44" s="34">
        <v>67.743</v>
      </c>
      <c r="F44" s="34">
        <v>313.9439631907502</v>
      </c>
      <c r="G44" s="20"/>
      <c r="H44" s="36"/>
      <c r="I44" s="34">
        <v>37.113</v>
      </c>
      <c r="J44" s="34"/>
      <c r="K44" s="34">
        <v>37.113</v>
      </c>
      <c r="L44" s="34">
        <v>1776.9731159260464</v>
      </c>
      <c r="M44" s="34">
        <v>2090.9170791167967</v>
      </c>
      <c r="N44" s="36"/>
      <c r="O44" s="4">
        <f>F44/M44</f>
        <v>0.15014653920343896</v>
      </c>
      <c r="P44" s="4">
        <f>L44/M44</f>
        <v>0.849853460796561</v>
      </c>
    </row>
    <row r="45" spans="1:16" ht="12.75">
      <c r="A45" s="59">
        <v>1449</v>
      </c>
      <c r="B45" s="20"/>
      <c r="C45" s="34">
        <v>175.173</v>
      </c>
      <c r="D45" s="34"/>
      <c r="E45" s="34">
        <v>175.173</v>
      </c>
      <c r="F45" s="34">
        <v>811.8109009641335</v>
      </c>
      <c r="G45" s="20"/>
      <c r="H45" s="36"/>
      <c r="I45" s="34">
        <v>55.026</v>
      </c>
      <c r="J45" s="34"/>
      <c r="K45" s="34">
        <v>55.026</v>
      </c>
      <c r="L45" s="34">
        <v>2634.6488474913544</v>
      </c>
      <c r="M45" s="34">
        <v>3446.459748455488</v>
      </c>
      <c r="N45" s="36"/>
      <c r="O45" s="4">
        <f>F45/M45</f>
        <v>0.23554921868097897</v>
      </c>
      <c r="P45" s="4">
        <f>L45/M45</f>
        <v>0.764450781319021</v>
      </c>
    </row>
    <row r="46" spans="1:16" ht="12.75">
      <c r="A46" s="59">
        <v>1450</v>
      </c>
      <c r="B46" s="20"/>
      <c r="C46" s="34">
        <v>1505.384</v>
      </c>
      <c r="D46" s="34"/>
      <c r="E46" s="34">
        <v>1505.384</v>
      </c>
      <c r="F46" s="34">
        <v>6976.458365941047</v>
      </c>
      <c r="G46" s="20"/>
      <c r="H46" s="36"/>
      <c r="I46" s="34">
        <v>125.905</v>
      </c>
      <c r="J46" s="34"/>
      <c r="K46" s="34">
        <v>125.905</v>
      </c>
      <c r="L46" s="34">
        <v>6028.340478017645</v>
      </c>
      <c r="M46" s="34">
        <v>13004.798843958692</v>
      </c>
      <c r="N46" s="36"/>
      <c r="O46" s="4">
        <f>F46/M46</f>
        <v>0.5364526164264296</v>
      </c>
      <c r="P46" s="4">
        <f>L46/M46</f>
        <v>0.46354738357357045</v>
      </c>
    </row>
    <row r="47" spans="1:16" ht="12.75">
      <c r="A47" s="59"/>
      <c r="B47" s="20"/>
      <c r="C47" s="36"/>
      <c r="D47" s="36"/>
      <c r="E47" s="36"/>
      <c r="F47" s="36"/>
      <c r="G47" s="20"/>
      <c r="H47" s="36"/>
      <c r="I47" s="36"/>
      <c r="J47" s="36"/>
      <c r="K47" s="36"/>
      <c r="L47" s="36"/>
      <c r="M47" s="36"/>
      <c r="N47" s="36"/>
      <c r="O47" s="4"/>
      <c r="P47" s="4"/>
    </row>
    <row r="48" spans="1:16" ht="12.75">
      <c r="A48" s="59" t="s">
        <v>74</v>
      </c>
      <c r="B48" s="20"/>
      <c r="C48" s="36">
        <f>SUM(C42:C47)/5</f>
        <v>517.3729999999999</v>
      </c>
      <c r="D48" s="36"/>
      <c r="E48" s="36">
        <f>SUM(E42:E47)/5</f>
        <v>517.3729999999999</v>
      </c>
      <c r="F48" s="36">
        <f>SUM(F42:F47)/5</f>
        <v>2397.681385056582</v>
      </c>
      <c r="G48" s="20"/>
      <c r="H48" s="36"/>
      <c r="I48" s="36">
        <f>SUM(I42:I47)/5</f>
        <v>64.3362</v>
      </c>
      <c r="J48" s="36">
        <f>SUM(J42:J47)/5</f>
        <v>0</v>
      </c>
      <c r="K48" s="36">
        <v>64.3362</v>
      </c>
      <c r="L48" s="36">
        <f>SUM(L42:L47)/5</f>
        <v>3080.4218947765285</v>
      </c>
      <c r="M48" s="36">
        <f>SUM(M42:M47)/5</f>
        <v>5478.10327983311</v>
      </c>
      <c r="N48" s="36"/>
      <c r="O48" s="4">
        <f>F48/M48</f>
        <v>0.4376845894606111</v>
      </c>
      <c r="P48" s="4">
        <f>L48/M48</f>
        <v>0.5623154105393889</v>
      </c>
    </row>
    <row r="49" spans="1:16" ht="12.75">
      <c r="A49" s="59"/>
      <c r="B49" s="20"/>
      <c r="C49" s="36"/>
      <c r="D49" s="36"/>
      <c r="E49" s="36"/>
      <c r="F49" s="36"/>
      <c r="G49" s="20"/>
      <c r="H49" s="36"/>
      <c r="I49" s="36"/>
      <c r="J49" s="36"/>
      <c r="K49" s="36"/>
      <c r="L49" s="36"/>
      <c r="M49" s="36"/>
      <c r="N49" s="36"/>
      <c r="P49" s="4"/>
    </row>
    <row r="50" spans="1:16" ht="12.75">
      <c r="A50" s="59">
        <v>1451</v>
      </c>
      <c r="B50" s="20"/>
      <c r="C50" s="34">
        <v>2290.029</v>
      </c>
      <c r="D50" s="34"/>
      <c r="E50" s="34">
        <v>2290.029</v>
      </c>
      <c r="F50" s="34">
        <v>10612.768552939058</v>
      </c>
      <c r="G50" s="20"/>
      <c r="H50" s="36"/>
      <c r="I50" s="34">
        <v>94.749</v>
      </c>
      <c r="J50" s="34"/>
      <c r="K50" s="34">
        <v>94.749</v>
      </c>
      <c r="L50" s="34">
        <v>4536.588951603938</v>
      </c>
      <c r="M50" s="34">
        <v>15149.357504542997</v>
      </c>
      <c r="N50" s="36"/>
      <c r="O50" s="4">
        <f>F50/M50</f>
        <v>0.7005424850365104</v>
      </c>
      <c r="P50" s="4">
        <f>L50/M50</f>
        <v>0.2994575149634896</v>
      </c>
    </row>
    <row r="51" spans="1:16" ht="12.75">
      <c r="A51" s="59">
        <v>1452</v>
      </c>
      <c r="B51" s="20"/>
      <c r="C51" s="34">
        <v>1847.158</v>
      </c>
      <c r="D51" s="34"/>
      <c r="E51" s="34">
        <v>1847.158</v>
      </c>
      <c r="F51" s="34">
        <v>8560.354622019984</v>
      </c>
      <c r="G51" s="20"/>
      <c r="H51" s="36"/>
      <c r="I51" s="34">
        <v>94.181</v>
      </c>
      <c r="J51" s="34"/>
      <c r="K51" s="34">
        <v>94.181</v>
      </c>
      <c r="L51" s="34">
        <v>4509.393070649933</v>
      </c>
      <c r="M51" s="34">
        <v>13069.747692669916</v>
      </c>
      <c r="N51" s="36"/>
      <c r="O51" s="4">
        <f>F51/M51</f>
        <v>0.654974741924131</v>
      </c>
      <c r="P51" s="4">
        <f>L51/M51</f>
        <v>0.34502525807586915</v>
      </c>
    </row>
    <row r="52" spans="1:16" ht="12.75">
      <c r="A52" s="59">
        <v>1453</v>
      </c>
      <c r="B52" s="20"/>
      <c r="C52" s="34">
        <v>1230.161</v>
      </c>
      <c r="D52" s="34"/>
      <c r="E52" s="34">
        <v>1230.161</v>
      </c>
      <c r="F52" s="34">
        <v>5700.981942085478</v>
      </c>
      <c r="G52" s="20"/>
      <c r="H52" s="36"/>
      <c r="I52" s="34">
        <v>67.147</v>
      </c>
      <c r="J52" s="34"/>
      <c r="K52" s="34">
        <v>67.147</v>
      </c>
      <c r="L52" s="34">
        <v>3215.0032014411727</v>
      </c>
      <c r="M52" s="34">
        <v>8915.98514352665</v>
      </c>
      <c r="N52" s="36"/>
      <c r="O52" s="4">
        <f>F52/M52</f>
        <v>0.639411332602389</v>
      </c>
      <c r="P52" s="4">
        <f>L52/M52</f>
        <v>0.36058866739761103</v>
      </c>
    </row>
    <row r="53" spans="1:16" ht="12.75">
      <c r="A53" s="59">
        <v>1454</v>
      </c>
      <c r="B53" s="20"/>
      <c r="C53" s="34">
        <v>1020.099</v>
      </c>
      <c r="D53" s="34"/>
      <c r="E53" s="34">
        <v>1020.099</v>
      </c>
      <c r="F53" s="34">
        <v>4727.483620550037</v>
      </c>
      <c r="G53" s="20"/>
      <c r="H53" s="36"/>
      <c r="I53" s="34">
        <v>34.635</v>
      </c>
      <c r="J53" s="34"/>
      <c r="K53" s="34">
        <v>34.635</v>
      </c>
      <c r="L53" s="34">
        <v>1658.3262972569885</v>
      </c>
      <c r="M53" s="34">
        <v>6385.809917807025</v>
      </c>
      <c r="N53" s="36"/>
      <c r="O53" s="4">
        <f>F53/M53</f>
        <v>0.7403107329216463</v>
      </c>
      <c r="P53" s="4">
        <f>L53/M53</f>
        <v>0.2596892670783537</v>
      </c>
    </row>
    <row r="54" spans="1:16" ht="12.75">
      <c r="A54" s="59">
        <v>1455</v>
      </c>
      <c r="B54" s="20"/>
      <c r="C54" s="34">
        <v>915.737</v>
      </c>
      <c r="D54" s="34"/>
      <c r="E54" s="34">
        <v>915.737</v>
      </c>
      <c r="F54" s="34">
        <v>4243.8348319443785</v>
      </c>
      <c r="G54" s="20"/>
      <c r="H54" s="36"/>
      <c r="I54" s="34">
        <v>26.918</v>
      </c>
      <c r="J54" s="34"/>
      <c r="K54" s="34">
        <v>26.918</v>
      </c>
      <c r="L54" s="34">
        <v>1288.8357808449146</v>
      </c>
      <c r="M54" s="34">
        <v>5532.670612789293</v>
      </c>
      <c r="N54" s="36"/>
      <c r="O54" s="4">
        <f>F54/M54</f>
        <v>0.767049970792469</v>
      </c>
      <c r="P54" s="4">
        <f>L54/M54</f>
        <v>0.23295002920753105</v>
      </c>
    </row>
    <row r="55" spans="1:16" ht="12.75">
      <c r="A55" s="59"/>
      <c r="B55" s="20"/>
      <c r="C55" s="36"/>
      <c r="D55" s="36"/>
      <c r="E55" s="36"/>
      <c r="F55" s="36"/>
      <c r="G55" s="20"/>
      <c r="H55" s="36"/>
      <c r="I55" s="36"/>
      <c r="J55" s="36"/>
      <c r="K55" s="36"/>
      <c r="L55" s="36"/>
      <c r="M55" s="36"/>
      <c r="N55" s="36"/>
      <c r="O55" s="4"/>
      <c r="P55" s="4"/>
    </row>
    <row r="56" spans="1:16" ht="12.75">
      <c r="A56" s="59" t="s">
        <v>76</v>
      </c>
      <c r="B56" s="20"/>
      <c r="C56" s="36">
        <f>SUM(C50:C55)/5</f>
        <v>1460.6368</v>
      </c>
      <c r="D56" s="36"/>
      <c r="E56" s="36">
        <f>SUM(E50:E55)/5</f>
        <v>1460.6368</v>
      </c>
      <c r="F56" s="36">
        <f>SUM(F50:F55)/5</f>
        <v>6769.084713907787</v>
      </c>
      <c r="G56" s="20"/>
      <c r="H56" s="36"/>
      <c r="I56" s="36">
        <f>SUM(I50:I55)/5</f>
        <v>63.525999999999996</v>
      </c>
      <c r="J56" s="36">
        <f>SUM(J50:J55)/5</f>
        <v>0</v>
      </c>
      <c r="K56" s="36">
        <v>63.525999999999996</v>
      </c>
      <c r="L56" s="36">
        <f>SUM(L50:L55)/5</f>
        <v>3041.629460359389</v>
      </c>
      <c r="M56" s="36">
        <f>SUM(M50:M55)/5</f>
        <v>9810.714174267177</v>
      </c>
      <c r="N56" s="36"/>
      <c r="O56" s="4">
        <f>F56/M56</f>
        <v>0.6899685989897276</v>
      </c>
      <c r="P56" s="4">
        <f>L56/M56</f>
        <v>0.31003140101027227</v>
      </c>
    </row>
    <row r="57" spans="1:16" ht="12.75">
      <c r="A57" s="59"/>
      <c r="B57" s="20"/>
      <c r="C57" s="36"/>
      <c r="D57" s="36"/>
      <c r="E57" s="36"/>
      <c r="F57" s="36"/>
      <c r="G57" s="20"/>
      <c r="H57" s="36"/>
      <c r="I57" s="36"/>
      <c r="J57" s="36"/>
      <c r="K57" s="36"/>
      <c r="L57" s="36"/>
      <c r="M57" s="36"/>
      <c r="N57" s="36"/>
      <c r="O57" s="4"/>
      <c r="P57" s="4"/>
    </row>
    <row r="58" spans="1:16" ht="12.75">
      <c r="A58" s="59">
        <v>1456</v>
      </c>
      <c r="B58" s="20"/>
      <c r="C58" s="34">
        <v>1177.013</v>
      </c>
      <c r="D58" s="34"/>
      <c r="E58" s="34">
        <v>1177.013</v>
      </c>
      <c r="F58" s="34">
        <v>5454.67614287874</v>
      </c>
      <c r="G58" s="20"/>
      <c r="H58" s="36"/>
      <c r="I58" s="34">
        <v>28.279</v>
      </c>
      <c r="J58" s="34"/>
      <c r="K58" s="34">
        <v>28.279</v>
      </c>
      <c r="L58" s="34">
        <v>1354.0005589759023</v>
      </c>
      <c r="M58" s="34">
        <v>6808.6767018546425</v>
      </c>
      <c r="N58" s="36"/>
      <c r="O58" s="4">
        <f>F58/M58</f>
        <v>0.8011360183092435</v>
      </c>
      <c r="P58" s="4">
        <f>L58/M58</f>
        <v>0.19886398169075656</v>
      </c>
    </row>
    <row r="59" spans="1:16" ht="12.75">
      <c r="A59" s="59">
        <v>1457</v>
      </c>
      <c r="B59" s="20"/>
      <c r="C59" s="34">
        <v>1429.722</v>
      </c>
      <c r="D59" s="34"/>
      <c r="E59" s="34">
        <v>1429.722</v>
      </c>
      <c r="F59" s="34">
        <v>6625.815079654072</v>
      </c>
      <c r="G59" s="20"/>
      <c r="H59" s="36"/>
      <c r="I59" s="34">
        <v>29.595</v>
      </c>
      <c r="J59" s="34"/>
      <c r="K59" s="34">
        <v>29.595</v>
      </c>
      <c r="L59" s="34">
        <v>1417.0107338622947</v>
      </c>
      <c r="M59" s="34">
        <v>8042.825813516367</v>
      </c>
      <c r="N59" s="36"/>
      <c r="O59" s="4">
        <f>F59/M59</f>
        <v>0.8238168068390915</v>
      </c>
      <c r="P59" s="4">
        <f>L59/M59</f>
        <v>0.17618319316090844</v>
      </c>
    </row>
    <row r="60" spans="1:16" ht="12.75">
      <c r="A60" s="59">
        <v>1458</v>
      </c>
      <c r="B60" s="20"/>
      <c r="C60" s="34">
        <v>1184.851</v>
      </c>
      <c r="D60" s="34"/>
      <c r="E60" s="34">
        <v>1184.851</v>
      </c>
      <c r="F60" s="34">
        <v>5491.000084592115</v>
      </c>
      <c r="G60" s="20"/>
      <c r="H60" s="36"/>
      <c r="I60" s="34">
        <v>29.53</v>
      </c>
      <c r="J60" s="34"/>
      <c r="K60" s="34">
        <v>29.53</v>
      </c>
      <c r="L60" s="34">
        <v>1413.898529175657</v>
      </c>
      <c r="M60" s="34">
        <v>6904.898613767772</v>
      </c>
      <c r="N60" s="36"/>
      <c r="O60" s="4">
        <f>F60/M60</f>
        <v>0.7952325431170756</v>
      </c>
      <c r="P60" s="4">
        <f>L60/M60</f>
        <v>0.20476745688292441</v>
      </c>
    </row>
    <row r="61" spans="1:16" ht="12.75">
      <c r="A61" s="59">
        <v>1459</v>
      </c>
      <c r="B61" s="20"/>
      <c r="C61" s="34">
        <v>1004.405</v>
      </c>
      <c r="D61" s="34"/>
      <c r="E61" s="34">
        <v>1004.405</v>
      </c>
      <c r="F61" s="34">
        <v>4654.752319038211</v>
      </c>
      <c r="G61" s="20"/>
      <c r="H61" s="36"/>
      <c r="I61" s="34">
        <v>6.775</v>
      </c>
      <c r="J61" s="34"/>
      <c r="K61" s="34">
        <v>6.775</v>
      </c>
      <c r="L61" s="34">
        <v>324.3874884918752</v>
      </c>
      <c r="M61" s="34">
        <v>4979.139807530086</v>
      </c>
      <c r="N61" s="36"/>
      <c r="O61" s="4">
        <f>F61/M61</f>
        <v>0.9348506969012408</v>
      </c>
      <c r="P61" s="4">
        <f>L61/M61</f>
        <v>0.06514930309875923</v>
      </c>
    </row>
    <row r="62" spans="1:16" ht="12.75">
      <c r="A62" s="59">
        <v>1460</v>
      </c>
      <c r="B62" s="20"/>
      <c r="C62" s="34">
        <v>2279.479</v>
      </c>
      <c r="D62" s="34"/>
      <c r="E62" s="34">
        <v>2279.479</v>
      </c>
      <c r="F62" s="34">
        <v>10563.876286407276</v>
      </c>
      <c r="G62" s="20"/>
      <c r="H62" s="36"/>
      <c r="I62" s="34">
        <v>39.414</v>
      </c>
      <c r="J62" s="34"/>
      <c r="K62" s="34">
        <v>39.414</v>
      </c>
      <c r="L62" s="34">
        <v>1887.1451618330286</v>
      </c>
      <c r="M62" s="34">
        <v>12451.021448240304</v>
      </c>
      <c r="N62" s="36"/>
      <c r="O62" s="4">
        <f>F62/M62</f>
        <v>0.8484345103991658</v>
      </c>
      <c r="P62" s="4">
        <f>L62/M62</f>
        <v>0.15156548960083413</v>
      </c>
    </row>
    <row r="63" spans="1:16" ht="12.75">
      <c r="A63" s="59"/>
      <c r="B63" s="20"/>
      <c r="C63" s="36"/>
      <c r="D63" s="36"/>
      <c r="E63" s="36"/>
      <c r="F63" s="36"/>
      <c r="G63" s="20"/>
      <c r="H63" s="36"/>
      <c r="I63" s="36"/>
      <c r="J63" s="36"/>
      <c r="K63" s="36"/>
      <c r="L63" s="36"/>
      <c r="M63" s="36"/>
      <c r="N63" s="36"/>
      <c r="O63" s="4"/>
      <c r="P63" s="4"/>
    </row>
    <row r="64" spans="1:16" ht="12.75">
      <c r="A64" s="59" t="s">
        <v>78</v>
      </c>
      <c r="B64" s="20"/>
      <c r="C64" s="36">
        <f>SUM(C58:C63)/5</f>
        <v>1415.0939999999998</v>
      </c>
      <c r="D64" s="36"/>
      <c r="E64" s="36">
        <f>SUM(E58:E63)/5</f>
        <v>1415.0939999999998</v>
      </c>
      <c r="F64" s="36">
        <f>SUM(F58:F63)/5</f>
        <v>6558.023982514083</v>
      </c>
      <c r="G64" s="20"/>
      <c r="H64" s="36"/>
      <c r="I64" s="36">
        <f>SUM(I58:I63)/5</f>
        <v>26.718600000000002</v>
      </c>
      <c r="J64" s="36">
        <f>SUM(J58:J63)/5</f>
        <v>0</v>
      </c>
      <c r="K64" s="36">
        <v>26.718600000000002</v>
      </c>
      <c r="L64" s="36">
        <f>SUM(L58:L63)/5</f>
        <v>1279.2884944677514</v>
      </c>
      <c r="M64" s="36">
        <f>SUM(M58:M63)/5</f>
        <v>7837.312476981834</v>
      </c>
      <c r="N64" s="36"/>
      <c r="O64" s="4">
        <f>F64/M64</f>
        <v>0.8367694923195907</v>
      </c>
      <c r="P64" s="4">
        <f>L64/M64</f>
        <v>0.16323050768040936</v>
      </c>
    </row>
    <row r="65" spans="1:16" ht="12.75">
      <c r="A65" s="59"/>
      <c r="B65" s="20"/>
      <c r="C65" s="36"/>
      <c r="D65" s="36"/>
      <c r="E65" s="36"/>
      <c r="F65" s="36"/>
      <c r="G65" s="20"/>
      <c r="H65" s="36"/>
      <c r="I65" s="36"/>
      <c r="J65" s="36"/>
      <c r="K65" s="36"/>
      <c r="L65" s="36"/>
      <c r="M65" s="36"/>
      <c r="N65" s="36"/>
      <c r="O65" s="4"/>
      <c r="P65" s="4"/>
    </row>
    <row r="66" spans="1:16" ht="12.75">
      <c r="A66" s="59">
        <v>1461</v>
      </c>
      <c r="B66" s="20"/>
      <c r="C66" s="34">
        <v>2121.908</v>
      </c>
      <c r="D66" s="34"/>
      <c r="E66" s="34">
        <v>2121.908</v>
      </c>
      <c r="F66" s="34">
        <v>9833.639003973229</v>
      </c>
      <c r="G66" s="20"/>
      <c r="H66" s="36"/>
      <c r="I66" s="34">
        <v>45.786</v>
      </c>
      <c r="J66" s="34"/>
      <c r="K66" s="34">
        <v>45.786</v>
      </c>
      <c r="L66" s="34">
        <v>2192.236981267749</v>
      </c>
      <c r="M66" s="34">
        <v>12025.875985240978</v>
      </c>
      <c r="N66" s="36"/>
      <c r="O66" s="4">
        <f>F66/M66</f>
        <v>0.8177066698543856</v>
      </c>
      <c r="P66" s="4">
        <f>L66/M66</f>
        <v>0.18229333014561436</v>
      </c>
    </row>
    <row r="67" spans="1:16" ht="12.75">
      <c r="A67" s="59">
        <v>1462</v>
      </c>
      <c r="B67" s="20"/>
      <c r="C67" s="34">
        <v>1964.338</v>
      </c>
      <c r="D67" s="34"/>
      <c r="E67" s="34">
        <v>1964.338</v>
      </c>
      <c r="F67" s="34">
        <v>9103.406355877241</v>
      </c>
      <c r="G67" s="20"/>
      <c r="H67" s="36"/>
      <c r="I67" s="34">
        <v>52.158</v>
      </c>
      <c r="J67" s="34"/>
      <c r="K67" s="34">
        <v>52.158</v>
      </c>
      <c r="L67" s="34">
        <v>2497.328800702469</v>
      </c>
      <c r="M67" s="34">
        <v>11600.73515657971</v>
      </c>
      <c r="N67" s="36"/>
      <c r="O67" s="4">
        <f>F67/M67</f>
        <v>0.7847266774911215</v>
      </c>
      <c r="P67" s="4">
        <f>L67/M67</f>
        <v>0.21527332250887848</v>
      </c>
    </row>
    <row r="68" spans="1:16" ht="12.75">
      <c r="A68" s="59">
        <v>1463</v>
      </c>
      <c r="B68" s="20"/>
      <c r="C68" s="34">
        <v>1964.338</v>
      </c>
      <c r="D68" s="34"/>
      <c r="E68" s="34">
        <v>1964.338</v>
      </c>
      <c r="F68" s="34">
        <v>9103.406355877241</v>
      </c>
      <c r="G68" s="20"/>
      <c r="H68" s="36"/>
      <c r="I68" s="34">
        <v>52.158</v>
      </c>
      <c r="J68" s="34"/>
      <c r="K68" s="34">
        <v>52.158</v>
      </c>
      <c r="L68" s="34">
        <v>2497.328800702469</v>
      </c>
      <c r="M68" s="34">
        <v>11600.73515657971</v>
      </c>
      <c r="N68" s="36"/>
      <c r="O68" s="4">
        <f>F68/M68</f>
        <v>0.7847266774911215</v>
      </c>
      <c r="P68" s="4">
        <f>L68/M68</f>
        <v>0.21527332250887848</v>
      </c>
    </row>
    <row r="69" spans="1:16" ht="12.75">
      <c r="A69" s="59">
        <v>1464</v>
      </c>
      <c r="B69" s="20"/>
      <c r="C69" s="34">
        <v>2517.054</v>
      </c>
      <c r="D69" s="34"/>
      <c r="E69" s="34">
        <v>2517.054</v>
      </c>
      <c r="F69" s="34">
        <v>12494.901</v>
      </c>
      <c r="G69" s="20"/>
      <c r="H69" s="36"/>
      <c r="I69" s="34">
        <v>220.325</v>
      </c>
      <c r="J69" s="34"/>
      <c r="K69" s="34">
        <v>220.325</v>
      </c>
      <c r="L69" s="34">
        <v>12614.191666669594</v>
      </c>
      <c r="M69" s="34">
        <v>25109.092666669596</v>
      </c>
      <c r="N69" s="36"/>
      <c r="O69" s="4">
        <f>F69/M69</f>
        <v>0.49762455242303627</v>
      </c>
      <c r="P69" s="4">
        <f>L69/M69</f>
        <v>0.5023754475769636</v>
      </c>
    </row>
    <row r="70" spans="1:16" ht="12.75">
      <c r="A70" s="59">
        <v>1465</v>
      </c>
      <c r="B70" s="20"/>
      <c r="C70" s="34">
        <v>8596.937</v>
      </c>
      <c r="D70" s="34"/>
      <c r="E70" s="34">
        <v>8596.937</v>
      </c>
      <c r="F70" s="34">
        <v>49801.39042191078</v>
      </c>
      <c r="G70" s="20"/>
      <c r="H70" s="36"/>
      <c r="I70" s="34">
        <v>2070.165</v>
      </c>
      <c r="J70" s="34"/>
      <c r="K70" s="34">
        <v>2070.165</v>
      </c>
      <c r="L70" s="34">
        <v>128855.56666666668</v>
      </c>
      <c r="M70" s="34">
        <v>178656.95708857744</v>
      </c>
      <c r="N70" s="36"/>
      <c r="O70" s="4">
        <f>F70/M70</f>
        <v>0.27875427430021343</v>
      </c>
      <c r="P70" s="4">
        <f>L70/M70</f>
        <v>0.7212457256997866</v>
      </c>
    </row>
    <row r="71" spans="1:16" ht="12.75">
      <c r="A71" s="59"/>
      <c r="B71" s="20"/>
      <c r="C71" s="36"/>
      <c r="D71" s="36"/>
      <c r="E71" s="36"/>
      <c r="F71" s="36"/>
      <c r="G71" s="20"/>
      <c r="H71" s="36"/>
      <c r="I71" s="36"/>
      <c r="J71" s="36"/>
      <c r="K71" s="36"/>
      <c r="L71" s="36"/>
      <c r="M71" s="36"/>
      <c r="N71" s="36"/>
      <c r="O71" s="4"/>
      <c r="P71" s="4"/>
    </row>
    <row r="72" spans="1:16" ht="12.75">
      <c r="A72" s="59" t="s">
        <v>80</v>
      </c>
      <c r="B72" s="20"/>
      <c r="C72" s="36">
        <f>SUM(C66:C71)/5</f>
        <v>3432.9149999999995</v>
      </c>
      <c r="D72" s="36"/>
      <c r="E72" s="36">
        <f>SUM(E66:E71)/5</f>
        <v>3432.9149999999995</v>
      </c>
      <c r="F72" s="36">
        <f>SUM(F66:F71)/5</f>
        <v>18067.3486275277</v>
      </c>
      <c r="G72" s="20"/>
      <c r="H72" s="36"/>
      <c r="I72" s="36">
        <f>SUM(I66:I71)/5</f>
        <v>488.1184</v>
      </c>
      <c r="J72" s="36">
        <f>SUM(J66:J71)/5</f>
        <v>0</v>
      </c>
      <c r="K72" s="36">
        <v>488.1184</v>
      </c>
      <c r="L72" s="36">
        <f>SUM(L66:L71)/5</f>
        <v>29731.33058320179</v>
      </c>
      <c r="M72" s="36">
        <f>SUM(M66:M71)/5</f>
        <v>47798.67921072949</v>
      </c>
      <c r="N72" s="36"/>
      <c r="O72" s="4">
        <f>F72/M72</f>
        <v>0.37798844917606167</v>
      </c>
      <c r="P72" s="4">
        <f>L72/M72</f>
        <v>0.6220115508239383</v>
      </c>
    </row>
    <row r="73" spans="1:16" ht="12.75">
      <c r="A73" s="59"/>
      <c r="B73" s="20"/>
      <c r="C73" s="36"/>
      <c r="D73" s="36"/>
      <c r="E73" s="36"/>
      <c r="F73" s="36"/>
      <c r="G73" s="20"/>
      <c r="H73" s="36"/>
      <c r="I73" s="36"/>
      <c r="J73" s="36"/>
      <c r="K73" s="36"/>
      <c r="L73" s="36"/>
      <c r="M73" s="36"/>
      <c r="N73" s="36"/>
      <c r="O73" s="4"/>
      <c r="P73" s="4"/>
    </row>
    <row r="74" spans="1:16" ht="12.75">
      <c r="A74" s="59">
        <v>1466</v>
      </c>
      <c r="B74" s="20"/>
      <c r="C74" s="34">
        <v>8596.937</v>
      </c>
      <c r="D74" s="34"/>
      <c r="E74" s="34">
        <v>8596.937</v>
      </c>
      <c r="F74" s="34">
        <v>49801.39042191078</v>
      </c>
      <c r="G74" s="20"/>
      <c r="H74" s="36"/>
      <c r="I74" s="34">
        <v>2070.165</v>
      </c>
      <c r="J74" s="34"/>
      <c r="K74" s="34">
        <v>2070.165</v>
      </c>
      <c r="L74" s="34">
        <v>133811.52677544006</v>
      </c>
      <c r="M74" s="34">
        <v>183612.91719735082</v>
      </c>
      <c r="N74" s="36"/>
      <c r="O74" s="4">
        <f>F74/M74</f>
        <v>0.2712303207316469</v>
      </c>
      <c r="P74" s="4">
        <f>L74/M74</f>
        <v>0.7287696792683532</v>
      </c>
    </row>
    <row r="75" spans="1:16" ht="12.75">
      <c r="A75" s="59">
        <v>1467</v>
      </c>
      <c r="B75" s="20"/>
      <c r="C75" s="34">
        <v>5617</v>
      </c>
      <c r="D75" s="34"/>
      <c r="E75" s="34">
        <v>5617</v>
      </c>
      <c r="F75" s="34">
        <v>32538.846102963515</v>
      </c>
      <c r="G75" s="20"/>
      <c r="H75" s="36"/>
      <c r="I75" s="34">
        <v>1390.92</v>
      </c>
      <c r="J75" s="34"/>
      <c r="K75" s="34">
        <v>1390.92</v>
      </c>
      <c r="L75" s="34">
        <v>89906.42234918235</v>
      </c>
      <c r="M75" s="34">
        <v>122445.26845214586</v>
      </c>
      <c r="N75" s="36"/>
      <c r="O75" s="4">
        <f>F75/M75</f>
        <v>0.265741963852857</v>
      </c>
      <c r="P75" s="4">
        <f>L75/M75</f>
        <v>0.734258036147143</v>
      </c>
    </row>
    <row r="76" spans="1:16" ht="12.75">
      <c r="A76" s="59">
        <v>1468</v>
      </c>
      <c r="B76" s="20"/>
      <c r="C76" s="34">
        <v>5617</v>
      </c>
      <c r="D76" s="34"/>
      <c r="E76" s="34">
        <v>5617</v>
      </c>
      <c r="F76" s="34">
        <v>32538.846102963515</v>
      </c>
      <c r="G76" s="20"/>
      <c r="H76" s="36"/>
      <c r="I76" s="34">
        <v>1390.92</v>
      </c>
      <c r="J76" s="34"/>
      <c r="K76" s="34">
        <v>1390.92</v>
      </c>
      <c r="L76" s="34">
        <v>89906.42234918235</v>
      </c>
      <c r="M76" s="34">
        <v>122445.26845214586</v>
      </c>
      <c r="N76" s="36"/>
      <c r="O76" s="4">
        <f>F76/M76</f>
        <v>0.265741963852857</v>
      </c>
      <c r="P76" s="4">
        <f>L76/M76</f>
        <v>0.734258036147143</v>
      </c>
    </row>
    <row r="77" spans="1:16" ht="12.75">
      <c r="A77" s="59">
        <v>1469</v>
      </c>
      <c r="B77" s="20"/>
      <c r="C77" s="34">
        <v>2637.108</v>
      </c>
      <c r="D77" s="34"/>
      <c r="E77" s="34">
        <v>2637.108</v>
      </c>
      <c r="F77" s="34">
        <v>15276.562465532119</v>
      </c>
      <c r="G77" s="20"/>
      <c r="H77" s="36"/>
      <c r="I77" s="34">
        <v>711.674</v>
      </c>
      <c r="J77" s="34"/>
      <c r="K77" s="34">
        <v>711.674</v>
      </c>
      <c r="L77" s="34">
        <v>46001.253284827304</v>
      </c>
      <c r="M77" s="34">
        <v>61277.81575035943</v>
      </c>
      <c r="N77" s="36"/>
      <c r="O77" s="4">
        <f>F77/M77</f>
        <v>0.24930004894050933</v>
      </c>
      <c r="P77" s="4">
        <f>L77/M77</f>
        <v>0.7506999510594906</v>
      </c>
    </row>
    <row r="78" spans="1:16" ht="12.75">
      <c r="A78" s="59">
        <v>1470</v>
      </c>
      <c r="B78" s="20"/>
      <c r="C78" s="34">
        <v>2610.567</v>
      </c>
      <c r="D78" s="34">
        <v>761.84</v>
      </c>
      <c r="E78" s="34">
        <v>3372.407</v>
      </c>
      <c r="F78" s="34">
        <v>19536.092641900814</v>
      </c>
      <c r="G78" s="20"/>
      <c r="H78" s="36"/>
      <c r="I78" s="34">
        <v>796.956</v>
      </c>
      <c r="J78" s="34">
        <v>80.148</v>
      </c>
      <c r="K78" s="34">
        <v>877.104</v>
      </c>
      <c r="L78" s="34">
        <v>56694.33372743022</v>
      </c>
      <c r="M78" s="34">
        <v>76230.42636933103</v>
      </c>
      <c r="N78" s="36"/>
      <c r="O78" s="4">
        <f>F78/M78</f>
        <v>0.2562768381649845</v>
      </c>
      <c r="P78" s="4">
        <f>L78/M78</f>
        <v>0.7437231618350155</v>
      </c>
    </row>
    <row r="79" spans="1:16" ht="12.75">
      <c r="A79" s="59"/>
      <c r="B79" s="20"/>
      <c r="C79" s="36"/>
      <c r="D79" s="36"/>
      <c r="E79" s="36"/>
      <c r="F79" s="36"/>
      <c r="G79" s="20"/>
      <c r="H79" s="36"/>
      <c r="I79" s="36"/>
      <c r="J79" s="36"/>
      <c r="K79" s="36"/>
      <c r="L79" s="36"/>
      <c r="M79" s="36"/>
      <c r="N79" s="36"/>
      <c r="O79" s="4"/>
      <c r="P79" s="4"/>
    </row>
    <row r="80" spans="1:16" ht="12.75">
      <c r="A80" s="59" t="s">
        <v>83</v>
      </c>
      <c r="B80" s="20"/>
      <c r="C80" s="36">
        <f>SUM(C74:C79)/5</f>
        <v>5015.722400000001</v>
      </c>
      <c r="D80" s="36">
        <f>SUM(D74:D79)/5</f>
        <v>152.368</v>
      </c>
      <c r="E80" s="36">
        <f>SUM(E74:E79)/5</f>
        <v>5168.0904</v>
      </c>
      <c r="F80" s="36">
        <f>SUM(F74:F79)/5</f>
        <v>29938.347547054145</v>
      </c>
      <c r="G80" s="20"/>
      <c r="H80" s="36"/>
      <c r="I80" s="36">
        <f>SUM(I74:I79)/5</f>
        <v>1272.127</v>
      </c>
      <c r="J80" s="36">
        <f>SUM(J74:J79)/5</f>
        <v>16.0296</v>
      </c>
      <c r="K80" s="36">
        <v>1288.1566</v>
      </c>
      <c r="L80" s="36">
        <f>SUM(L74:L79)/5</f>
        <v>83263.99169721245</v>
      </c>
      <c r="M80" s="36">
        <f>SUM(M74:M79)/5</f>
        <v>113202.3392442666</v>
      </c>
      <c r="N80" s="36"/>
      <c r="O80" s="4">
        <f>F80/M80</f>
        <v>0.264467569724452</v>
      </c>
      <c r="P80" s="4">
        <f>L80/M80</f>
        <v>0.735532430275548</v>
      </c>
    </row>
    <row r="81" spans="1:16" ht="12.75">
      <c r="A81" s="59"/>
      <c r="B81" s="20"/>
      <c r="C81" s="36"/>
      <c r="D81" s="36"/>
      <c r="E81" s="36"/>
      <c r="F81" s="36"/>
      <c r="G81" s="20"/>
      <c r="H81" s="36"/>
      <c r="I81" s="36"/>
      <c r="J81" s="36"/>
      <c r="K81" s="36"/>
      <c r="L81" s="36"/>
      <c r="M81" s="36"/>
      <c r="N81" s="36"/>
      <c r="O81" s="4"/>
      <c r="P81" s="4"/>
    </row>
    <row r="82" spans="1:16" ht="12.75">
      <c r="A82" s="59">
        <v>1471</v>
      </c>
      <c r="B82" s="20"/>
      <c r="C82" s="34">
        <v>1213.064</v>
      </c>
      <c r="D82" s="34">
        <v>113.99</v>
      </c>
      <c r="E82" s="34">
        <v>1327.054</v>
      </c>
      <c r="F82" s="34">
        <v>7687.521074652332</v>
      </c>
      <c r="G82" s="20"/>
      <c r="H82" s="36"/>
      <c r="I82" s="34">
        <v>272.06</v>
      </c>
      <c r="J82" s="34">
        <v>16.745</v>
      </c>
      <c r="K82" s="34">
        <v>288.805</v>
      </c>
      <c r="L82" s="34">
        <v>18667.805701661928</v>
      </c>
      <c r="M82" s="34">
        <v>26355.326776314258</v>
      </c>
      <c r="N82" s="36"/>
      <c r="O82" s="4">
        <f>F82/M82</f>
        <v>0.2916875643356154</v>
      </c>
      <c r="P82" s="4">
        <f>L82/M82</f>
        <v>0.7083124356643847</v>
      </c>
    </row>
    <row r="83" spans="1:16" ht="12.75">
      <c r="A83" s="59">
        <v>1472</v>
      </c>
      <c r="B83" s="20"/>
      <c r="C83" s="34">
        <v>2632.327</v>
      </c>
      <c r="D83" s="34">
        <v>204.087</v>
      </c>
      <c r="E83" s="34">
        <v>2836.414</v>
      </c>
      <c r="F83" s="34">
        <v>16431.126692236274</v>
      </c>
      <c r="G83" s="20"/>
      <c r="H83" s="36"/>
      <c r="I83" s="34">
        <v>590.365</v>
      </c>
      <c r="J83" s="34">
        <v>30.295</v>
      </c>
      <c r="K83" s="34">
        <v>620.66</v>
      </c>
      <c r="L83" s="34">
        <v>40118.28149371891</v>
      </c>
      <c r="M83" s="34">
        <v>56549.40818595518</v>
      </c>
      <c r="N83" s="36"/>
      <c r="O83" s="4">
        <f>F83/M83</f>
        <v>0.29056231036414576</v>
      </c>
      <c r="P83" s="4">
        <f>L83/M83</f>
        <v>0.7094376896358543</v>
      </c>
    </row>
    <row r="84" spans="1:16" ht="12.75">
      <c r="A84" s="59">
        <v>1473</v>
      </c>
      <c r="B84" s="20"/>
      <c r="C84" s="34">
        <v>2632.327</v>
      </c>
      <c r="D84" s="34">
        <v>17.607</v>
      </c>
      <c r="E84" s="34">
        <v>2649.934</v>
      </c>
      <c r="F84" s="34">
        <v>15350.862490477215</v>
      </c>
      <c r="G84" s="20"/>
      <c r="H84" s="36"/>
      <c r="I84" s="34">
        <v>590.365</v>
      </c>
      <c r="J84" s="34">
        <v>4.262</v>
      </c>
      <c r="K84" s="34">
        <v>594.627</v>
      </c>
      <c r="L84" s="34">
        <v>38435.557905722286</v>
      </c>
      <c r="M84" s="34">
        <v>53786.4203961995</v>
      </c>
      <c r="N84" s="36"/>
      <c r="O84" s="4">
        <f>F84/M84</f>
        <v>0.28540405510164596</v>
      </c>
      <c r="P84" s="4">
        <f>L84/M84</f>
        <v>0.7145959448983541</v>
      </c>
    </row>
    <row r="85" spans="1:16" ht="12.75">
      <c r="A85" s="59">
        <v>1474</v>
      </c>
      <c r="B85" s="20"/>
      <c r="C85" s="34">
        <v>2632.327</v>
      </c>
      <c r="D85" s="34">
        <v>17.607</v>
      </c>
      <c r="E85" s="34">
        <v>2649.934</v>
      </c>
      <c r="F85" s="34">
        <v>15350.862490477215</v>
      </c>
      <c r="G85" s="20"/>
      <c r="H85" s="36"/>
      <c r="I85" s="34">
        <v>590.365</v>
      </c>
      <c r="J85" s="34">
        <v>4.262</v>
      </c>
      <c r="K85" s="34">
        <v>594.627</v>
      </c>
      <c r="L85" s="34">
        <v>38435.557905722286</v>
      </c>
      <c r="M85" s="34">
        <v>53786.4203961995</v>
      </c>
      <c r="N85" s="36"/>
      <c r="O85" s="4">
        <f>F85/M85</f>
        <v>0.28540405510164596</v>
      </c>
      <c r="P85" s="4">
        <f>L85/M85</f>
        <v>0.7145959448983541</v>
      </c>
    </row>
    <row r="86" spans="1:16" ht="12.75">
      <c r="A86" s="59">
        <v>1475</v>
      </c>
      <c r="B86" s="20"/>
      <c r="C86" s="34">
        <v>2632.327</v>
      </c>
      <c r="D86" s="34">
        <v>17.607</v>
      </c>
      <c r="E86" s="34">
        <v>2649.934</v>
      </c>
      <c r="F86" s="34">
        <v>15350.862490477215</v>
      </c>
      <c r="G86" s="20"/>
      <c r="H86" s="36"/>
      <c r="I86" s="34">
        <v>590.365</v>
      </c>
      <c r="J86" s="34">
        <v>4.262</v>
      </c>
      <c r="K86" s="34">
        <v>594.627</v>
      </c>
      <c r="L86" s="34">
        <v>38435.557905722286</v>
      </c>
      <c r="M86" s="34">
        <v>53786.4203961995</v>
      </c>
      <c r="N86" s="36"/>
      <c r="O86" s="4">
        <f>F86/M86</f>
        <v>0.28540405510164596</v>
      </c>
      <c r="P86" s="4">
        <f>L86/M86</f>
        <v>0.7145959448983541</v>
      </c>
    </row>
    <row r="87" spans="1:16" ht="12.75">
      <c r="A87" s="59"/>
      <c r="B87" s="20"/>
      <c r="C87" s="36"/>
      <c r="D87" s="36"/>
      <c r="E87" s="36"/>
      <c r="F87" s="36"/>
      <c r="G87" s="20"/>
      <c r="H87" s="36"/>
      <c r="I87" s="36"/>
      <c r="J87" s="36"/>
      <c r="K87" s="36"/>
      <c r="L87" s="36"/>
      <c r="M87" s="36"/>
      <c r="N87" s="36"/>
      <c r="O87" s="4"/>
      <c r="P87" s="4"/>
    </row>
    <row r="88" spans="1:16" ht="12.75">
      <c r="A88" s="59" t="s">
        <v>85</v>
      </c>
      <c r="B88" s="20"/>
      <c r="C88" s="36">
        <f>SUM(C82:C87)/5</f>
        <v>2348.4744000000005</v>
      </c>
      <c r="D88" s="36">
        <f>SUM(D82:D87)/5</f>
        <v>74.17959999999998</v>
      </c>
      <c r="E88" s="36">
        <f>SUM(E82:E87)/5</f>
        <v>2422.654</v>
      </c>
      <c r="F88" s="36">
        <f>SUM(F82:F87)/5</f>
        <v>14034.24704766405</v>
      </c>
      <c r="G88" s="20"/>
      <c r="H88" s="36"/>
      <c r="I88" s="36">
        <f>SUM(I82:I87)/5</f>
        <v>526.704</v>
      </c>
      <c r="J88" s="36">
        <f>SUM(J82:J87)/5</f>
        <v>11.965200000000001</v>
      </c>
      <c r="K88" s="36">
        <v>538.6692</v>
      </c>
      <c r="L88" s="36">
        <f>SUM(L82:L87)/5</f>
        <v>34818.55218250954</v>
      </c>
      <c r="M88" s="36">
        <f>SUM(M82:M87)/5</f>
        <v>48852.799230173594</v>
      </c>
      <c r="N88" s="36"/>
      <c r="O88" s="4">
        <f>F88/M88</f>
        <v>0.28727621075592114</v>
      </c>
      <c r="P88" s="4">
        <f>L88/M88</f>
        <v>0.7127237892440789</v>
      </c>
    </row>
    <row r="89" spans="1:16" ht="12.75">
      <c r="A89" s="59"/>
      <c r="B89" s="20"/>
      <c r="C89" s="36"/>
      <c r="D89" s="36"/>
      <c r="E89" s="36"/>
      <c r="F89" s="36"/>
      <c r="G89" s="20"/>
      <c r="H89" s="36"/>
      <c r="I89" s="36"/>
      <c r="J89" s="36"/>
      <c r="K89" s="36"/>
      <c r="L89" s="36"/>
      <c r="M89" s="36"/>
      <c r="N89" s="36"/>
      <c r="O89" s="4"/>
      <c r="P89" s="4"/>
    </row>
    <row r="90" spans="1:16" ht="12.75">
      <c r="A90" s="59">
        <v>1476</v>
      </c>
      <c r="B90" s="20"/>
      <c r="C90" s="34">
        <v>1012.598</v>
      </c>
      <c r="D90" s="34"/>
      <c r="E90" s="34">
        <v>1012.598</v>
      </c>
      <c r="F90" s="34">
        <v>5865.90181345356</v>
      </c>
      <c r="G90" s="20"/>
      <c r="H90" s="36"/>
      <c r="I90" s="34">
        <v>336.672</v>
      </c>
      <c r="J90" s="34"/>
      <c r="K90" s="34">
        <v>336.672</v>
      </c>
      <c r="L90" s="34">
        <v>21761.837506933483</v>
      </c>
      <c r="M90" s="34">
        <v>27627.739320387045</v>
      </c>
      <c r="N90" s="36"/>
      <c r="O90" s="4">
        <f>F90/M90</f>
        <v>0.21231928336333322</v>
      </c>
      <c r="P90" s="4">
        <f>L90/M90</f>
        <v>0.7876807166366667</v>
      </c>
    </row>
    <row r="91" spans="1:16" ht="12.75">
      <c r="A91" s="59">
        <v>1477</v>
      </c>
      <c r="B91" s="20"/>
      <c r="C91" s="34">
        <v>973.15</v>
      </c>
      <c r="D91" s="34"/>
      <c r="E91" s="34">
        <v>973.15</v>
      </c>
      <c r="F91" s="34">
        <v>5637.382603720659</v>
      </c>
      <c r="G91" s="20"/>
      <c r="H91" s="36"/>
      <c r="I91" s="34">
        <v>447.84</v>
      </c>
      <c r="J91" s="34"/>
      <c r="K91" s="34">
        <v>447.84</v>
      </c>
      <c r="L91" s="34">
        <v>28947.52551178919</v>
      </c>
      <c r="M91" s="34">
        <v>34584.90811550985</v>
      </c>
      <c r="N91" s="36"/>
      <c r="O91" s="4">
        <f>F91/M91</f>
        <v>0.16300123119866075</v>
      </c>
      <c r="P91" s="4">
        <f>L91/M91</f>
        <v>0.8369987688013393</v>
      </c>
    </row>
    <row r="92" spans="1:16" ht="12.75">
      <c r="A92" s="59">
        <v>1478</v>
      </c>
      <c r="B92" s="20"/>
      <c r="C92" s="34">
        <v>677.389</v>
      </c>
      <c r="D92" s="34"/>
      <c r="E92" s="34">
        <v>677.389</v>
      </c>
      <c r="F92" s="34">
        <v>3924.062030058813</v>
      </c>
      <c r="G92" s="20"/>
      <c r="H92" s="36"/>
      <c r="I92" s="34">
        <v>390.24</v>
      </c>
      <c r="J92" s="34"/>
      <c r="K92" s="34">
        <v>390.24</v>
      </c>
      <c r="L92" s="34">
        <v>25224.3711051282</v>
      </c>
      <c r="M92" s="34">
        <v>29148.433135187013</v>
      </c>
      <c r="N92" s="36"/>
      <c r="O92" s="4">
        <f>F92/M92</f>
        <v>0.134623429391881</v>
      </c>
      <c r="P92" s="4">
        <f>L92/M92</f>
        <v>0.865376570608119</v>
      </c>
    </row>
    <row r="93" spans="1:16" ht="12.75">
      <c r="A93" s="59">
        <v>1479</v>
      </c>
      <c r="B93" s="20"/>
      <c r="C93" s="34">
        <v>905.659</v>
      </c>
      <c r="D93" s="34"/>
      <c r="E93" s="34">
        <v>905.659</v>
      </c>
      <c r="F93" s="34">
        <v>5246.412466221084</v>
      </c>
      <c r="G93" s="20"/>
      <c r="H93" s="36"/>
      <c r="I93" s="34">
        <v>385.029</v>
      </c>
      <c r="J93" s="34"/>
      <c r="K93" s="34">
        <v>385.029</v>
      </c>
      <c r="L93" s="34">
        <v>24887.54197990059</v>
      </c>
      <c r="M93" s="34">
        <v>30133.954446121676</v>
      </c>
      <c r="N93" s="36"/>
      <c r="O93" s="4">
        <f>F93/M93</f>
        <v>0.1741030197547243</v>
      </c>
      <c r="P93" s="4">
        <f>L93/M93</f>
        <v>0.8258969802452757</v>
      </c>
    </row>
    <row r="94" spans="1:16" ht="12.75">
      <c r="A94" s="59">
        <v>1480</v>
      </c>
      <c r="B94" s="20"/>
      <c r="C94" s="34">
        <v>604.617</v>
      </c>
      <c r="D94" s="34"/>
      <c r="E94" s="34">
        <v>604.617</v>
      </c>
      <c r="F94" s="34">
        <v>3502.499468441426</v>
      </c>
      <c r="G94" s="20"/>
      <c r="H94" s="36"/>
      <c r="I94" s="34">
        <v>462.604</v>
      </c>
      <c r="J94" s="34"/>
      <c r="K94" s="34">
        <v>462.604</v>
      </c>
      <c r="L94" s="34">
        <v>29901.84238088542</v>
      </c>
      <c r="M94" s="34">
        <v>33404.34184932685</v>
      </c>
      <c r="N94" s="36"/>
      <c r="O94" s="4">
        <f>F94/M94</f>
        <v>0.10485162330812416</v>
      </c>
      <c r="P94" s="4">
        <f>L94/M94</f>
        <v>0.8951483766918759</v>
      </c>
    </row>
    <row r="95" spans="1:16" ht="12.75">
      <c r="A95" s="59"/>
      <c r="B95" s="20"/>
      <c r="C95" s="36"/>
      <c r="D95" s="36"/>
      <c r="E95" s="36"/>
      <c r="F95" s="36"/>
      <c r="G95" s="20"/>
      <c r="H95" s="36"/>
      <c r="I95" s="36"/>
      <c r="J95" s="36"/>
      <c r="K95" s="36"/>
      <c r="L95" s="36"/>
      <c r="M95" s="36"/>
      <c r="N95" s="36"/>
      <c r="O95" s="4"/>
      <c r="P95" s="4"/>
    </row>
    <row r="96" spans="1:16" ht="12.75">
      <c r="A96" s="59" t="s">
        <v>87</v>
      </c>
      <c r="B96" s="20"/>
      <c r="C96" s="36">
        <f>SUM(C90:C95)/5</f>
        <v>834.6826000000001</v>
      </c>
      <c r="D96" s="36">
        <f>SUM(D90:D95)/5</f>
        <v>0</v>
      </c>
      <c r="E96" s="36">
        <f>SUM(E90:E95)/5</f>
        <v>834.6826000000001</v>
      </c>
      <c r="F96" s="36">
        <f>SUM(F90:F95)/5</f>
        <v>4835.251676379108</v>
      </c>
      <c r="G96" s="20"/>
      <c r="H96" s="36"/>
      <c r="I96" s="36">
        <f>SUM(I90:I95)/5</f>
        <v>404.477</v>
      </c>
      <c r="J96" s="36">
        <f>SUM(J90:J95)/5</f>
        <v>0</v>
      </c>
      <c r="K96" s="36">
        <v>404.477</v>
      </c>
      <c r="L96" s="36">
        <f>SUM(L90:L95)/5</f>
        <v>26144.623696927378</v>
      </c>
      <c r="M96" s="36">
        <f>SUM(M90:M95)/5</f>
        <v>30979.875373306488</v>
      </c>
      <c r="N96" s="36"/>
      <c r="O96" s="4">
        <f>F96/M96</f>
        <v>0.15607718294907527</v>
      </c>
      <c r="P96" s="4">
        <f>L96/M96</f>
        <v>0.8439228170509246</v>
      </c>
    </row>
    <row r="97" spans="1:16" ht="12.75">
      <c r="A97" s="59"/>
      <c r="B97" s="20"/>
      <c r="C97" s="36"/>
      <c r="D97" s="36"/>
      <c r="E97" s="36"/>
      <c r="F97" s="36"/>
      <c r="G97" s="20"/>
      <c r="H97" s="36"/>
      <c r="I97" s="36"/>
      <c r="J97" s="36"/>
      <c r="K97" s="36"/>
      <c r="L97" s="36"/>
      <c r="M97" s="36"/>
      <c r="N97" s="36"/>
      <c r="O97" s="4"/>
      <c r="P97" s="4"/>
    </row>
    <row r="98" spans="1:16" ht="12.75">
      <c r="A98" s="59">
        <v>1481</v>
      </c>
      <c r="B98" s="20"/>
      <c r="C98" s="34">
        <v>315.889</v>
      </c>
      <c r="D98" s="34"/>
      <c r="E98" s="34">
        <v>315.889</v>
      </c>
      <c r="F98" s="34">
        <v>1829.9205192485385</v>
      </c>
      <c r="G98" s="20"/>
      <c r="H98" s="36"/>
      <c r="I98" s="34">
        <v>276.385</v>
      </c>
      <c r="J98" s="34"/>
      <c r="K98" s="34">
        <v>276.385</v>
      </c>
      <c r="L98" s="34">
        <v>17865.00053272565</v>
      </c>
      <c r="M98" s="34">
        <v>19694.92105197419</v>
      </c>
      <c r="N98" s="36"/>
      <c r="O98" s="4">
        <f>F98/M98</f>
        <v>0.0929133208718859</v>
      </c>
      <c r="P98" s="4">
        <f>L98/M98</f>
        <v>0.9070866791281141</v>
      </c>
    </row>
    <row r="99" spans="1:16" ht="12.75">
      <c r="A99" s="59">
        <v>1482</v>
      </c>
      <c r="B99" s="20"/>
      <c r="C99" s="34">
        <v>553.855</v>
      </c>
      <c r="D99" s="34"/>
      <c r="E99" s="34">
        <v>553.855</v>
      </c>
      <c r="F99" s="34">
        <v>3208.4391326966097</v>
      </c>
      <c r="G99" s="20"/>
      <c r="H99" s="36"/>
      <c r="I99" s="34">
        <v>267.335</v>
      </c>
      <c r="J99" s="34"/>
      <c r="K99" s="34">
        <v>267.335</v>
      </c>
      <c r="L99" s="34">
        <v>17280.025751817975</v>
      </c>
      <c r="M99" s="34">
        <v>20488.464884514586</v>
      </c>
      <c r="N99" s="36"/>
      <c r="O99" s="4">
        <f>F99/M99</f>
        <v>0.15659734151784033</v>
      </c>
      <c r="P99" s="4">
        <f>L99/M99</f>
        <v>0.8434026584821597</v>
      </c>
    </row>
    <row r="100" spans="1:16" ht="12.75">
      <c r="A100" s="59">
        <v>1483</v>
      </c>
      <c r="B100" s="20"/>
      <c r="C100" s="34">
        <v>1004.647</v>
      </c>
      <c r="D100" s="34"/>
      <c r="E100" s="34">
        <v>1004.647</v>
      </c>
      <c r="F100" s="34">
        <v>5819.842286060884</v>
      </c>
      <c r="G100" s="20"/>
      <c r="H100" s="36"/>
      <c r="I100" s="34">
        <v>162.414</v>
      </c>
      <c r="J100" s="34"/>
      <c r="K100" s="34">
        <v>162.414</v>
      </c>
      <c r="L100" s="34">
        <v>10498.131941031907</v>
      </c>
      <c r="M100" s="34">
        <v>16317.97422709279</v>
      </c>
      <c r="N100" s="36"/>
      <c r="O100" s="4">
        <f>F100/M100</f>
        <v>0.3566522538317397</v>
      </c>
      <c r="P100" s="4">
        <f>L100/M100</f>
        <v>0.6433477461682603</v>
      </c>
    </row>
    <row r="101" spans="1:16" ht="12.75">
      <c r="A101" s="59">
        <v>1484</v>
      </c>
      <c r="B101" s="20"/>
      <c r="C101" s="34">
        <v>2300.517</v>
      </c>
      <c r="D101" s="34"/>
      <c r="E101" s="34">
        <v>2300.517</v>
      </c>
      <c r="F101" s="34">
        <v>13326.71686313892</v>
      </c>
      <c r="G101" s="20"/>
      <c r="H101" s="36"/>
      <c r="I101" s="34">
        <v>255.876</v>
      </c>
      <c r="J101" s="34"/>
      <c r="K101" s="34">
        <v>255.876</v>
      </c>
      <c r="L101" s="34">
        <v>16539.33779442339</v>
      </c>
      <c r="M101" s="34">
        <v>29866.05465756231</v>
      </c>
      <c r="N101" s="36"/>
      <c r="O101" s="4">
        <f>F101/M101</f>
        <v>0.44621618141197955</v>
      </c>
      <c r="P101" s="4">
        <f>L101/M101</f>
        <v>0.5537838185880205</v>
      </c>
    </row>
    <row r="102" spans="1:16" ht="12.75">
      <c r="A102" s="59">
        <v>1485</v>
      </c>
      <c r="B102" s="20"/>
      <c r="C102" s="34">
        <v>801.247</v>
      </c>
      <c r="D102" s="34"/>
      <c r="E102" s="34">
        <v>801.247</v>
      </c>
      <c r="F102" s="34">
        <v>4641.561834335269</v>
      </c>
      <c r="G102" s="20"/>
      <c r="H102" s="36"/>
      <c r="I102" s="34">
        <v>135.234</v>
      </c>
      <c r="J102" s="34"/>
      <c r="K102" s="34">
        <v>135.234</v>
      </c>
      <c r="L102" s="34">
        <v>8741.268455388754</v>
      </c>
      <c r="M102" s="34">
        <v>13382.830289724023</v>
      </c>
      <c r="N102" s="36"/>
      <c r="O102" s="4">
        <f>F102/M102</f>
        <v>0.3468296118123296</v>
      </c>
      <c r="P102" s="4">
        <f>L102/M102</f>
        <v>0.6531703881876705</v>
      </c>
    </row>
    <row r="103" spans="1:16" ht="12.75">
      <c r="A103" s="59"/>
      <c r="B103" s="20"/>
      <c r="C103" s="36"/>
      <c r="D103" s="36"/>
      <c r="E103" s="36"/>
      <c r="F103" s="36"/>
      <c r="G103" s="20"/>
      <c r="H103" s="36"/>
      <c r="I103" s="36"/>
      <c r="J103" s="36"/>
      <c r="K103" s="36"/>
      <c r="L103" s="36"/>
      <c r="M103" s="36"/>
      <c r="N103" s="36"/>
      <c r="O103" s="4"/>
      <c r="P103" s="4"/>
    </row>
    <row r="104" spans="1:16" ht="12.75">
      <c r="A104" s="59" t="s">
        <v>89</v>
      </c>
      <c r="B104" s="20"/>
      <c r="C104" s="36">
        <f>SUM(C98:C103)/5</f>
        <v>995.231</v>
      </c>
      <c r="D104" s="36"/>
      <c r="E104" s="36">
        <f>SUM(E98:E103)/5</f>
        <v>995.231</v>
      </c>
      <c r="F104" s="36">
        <f>SUM(F98:F103)/5</f>
        <v>5765.296127096044</v>
      </c>
      <c r="G104" s="20"/>
      <c r="H104" s="36"/>
      <c r="I104" s="36">
        <f>SUM(I98:I103)/5</f>
        <v>219.44879999999998</v>
      </c>
      <c r="J104" s="36">
        <f>SUM(J98:J103)/5</f>
        <v>0</v>
      </c>
      <c r="K104" s="36">
        <v>219.44879999999998</v>
      </c>
      <c r="L104" s="36">
        <f>SUM(L98:L103)/5</f>
        <v>14184.752895077534</v>
      </c>
      <c r="M104" s="36">
        <f>SUM(M98:M103)/5</f>
        <v>19950.049022173578</v>
      </c>
      <c r="N104" s="36"/>
      <c r="O104" s="4">
        <f>F104/M104</f>
        <v>0.28898656442839704</v>
      </c>
      <c r="P104" s="4">
        <f>L104/M104</f>
        <v>0.711013435571603</v>
      </c>
    </row>
    <row r="105" spans="1:16" ht="12.75">
      <c r="A105" s="59"/>
      <c r="B105" s="20"/>
      <c r="C105" s="36"/>
      <c r="D105" s="36"/>
      <c r="E105" s="36"/>
      <c r="F105" s="36"/>
      <c r="G105" s="20"/>
      <c r="H105" s="36"/>
      <c r="I105" s="36"/>
      <c r="J105" s="36"/>
      <c r="K105" s="36"/>
      <c r="L105" s="36"/>
      <c r="M105" s="36"/>
      <c r="N105" s="36"/>
      <c r="O105" s="4"/>
      <c r="P105" s="4"/>
    </row>
    <row r="106" spans="1:16" ht="12.75">
      <c r="A106" s="59">
        <v>1486</v>
      </c>
      <c r="B106" s="20"/>
      <c r="C106" s="34">
        <v>1328.022</v>
      </c>
      <c r="D106" s="34"/>
      <c r="E106" s="34">
        <v>1328.022</v>
      </c>
      <c r="F106" s="34">
        <v>7693.128623704791</v>
      </c>
      <c r="G106" s="20"/>
      <c r="H106" s="36"/>
      <c r="I106" s="34">
        <v>164.358</v>
      </c>
      <c r="J106" s="34"/>
      <c r="K106" s="34">
        <v>164.358</v>
      </c>
      <c r="L106" s="34">
        <v>10623.788402256716</v>
      </c>
      <c r="M106" s="34">
        <v>18316.917025961506</v>
      </c>
      <c r="N106" s="36"/>
      <c r="O106" s="4">
        <f>F106/M106</f>
        <v>0.42000128148208155</v>
      </c>
      <c r="P106" s="4">
        <f>L106/M106</f>
        <v>0.5799987185179185</v>
      </c>
    </row>
    <row r="107" spans="1:16" ht="12.75">
      <c r="A107" s="59">
        <v>1487</v>
      </c>
      <c r="B107" s="20"/>
      <c r="C107" s="34">
        <v>615.029</v>
      </c>
      <c r="D107" s="34"/>
      <c r="E107" s="34">
        <v>615.029</v>
      </c>
      <c r="F107" s="34">
        <v>3562.815378290822</v>
      </c>
      <c r="G107" s="20"/>
      <c r="H107" s="36"/>
      <c r="I107" s="34">
        <v>120.092</v>
      </c>
      <c r="J107" s="34"/>
      <c r="K107" s="34">
        <v>120.092</v>
      </c>
      <c r="L107" s="34">
        <v>7762.518385498811</v>
      </c>
      <c r="M107" s="34">
        <v>11325.333763789633</v>
      </c>
      <c r="N107" s="36"/>
      <c r="O107" s="4">
        <f>F107/M107</f>
        <v>0.3145881130392972</v>
      </c>
      <c r="P107" s="4">
        <f>L107/M107</f>
        <v>0.6854118869607028</v>
      </c>
    </row>
    <row r="108" spans="1:16" ht="12.75">
      <c r="A108" s="59">
        <v>1488</v>
      </c>
      <c r="B108" s="20"/>
      <c r="C108" s="34">
        <v>858.308</v>
      </c>
      <c r="D108" s="34"/>
      <c r="E108" s="34">
        <v>858.308</v>
      </c>
      <c r="F108" s="34">
        <v>4972.111789379101</v>
      </c>
      <c r="G108" s="20"/>
      <c r="H108" s="36"/>
      <c r="I108" s="34">
        <v>140.499</v>
      </c>
      <c r="J108" s="34"/>
      <c r="K108" s="34">
        <v>140.499</v>
      </c>
      <c r="L108" s="34">
        <v>9081.588037872609</v>
      </c>
      <c r="M108" s="34">
        <v>14053.699827251708</v>
      </c>
      <c r="N108" s="36"/>
      <c r="O108" s="4">
        <f>F108/M108</f>
        <v>0.3537937945520663</v>
      </c>
      <c r="P108" s="4">
        <f>L108/M108</f>
        <v>0.6462062054479337</v>
      </c>
    </row>
    <row r="109" spans="1:16" ht="12.75">
      <c r="A109" s="59">
        <v>1489</v>
      </c>
      <c r="B109" s="20"/>
      <c r="C109" s="34">
        <v>881.693</v>
      </c>
      <c r="D109" s="34"/>
      <c r="E109" s="34">
        <v>881.693</v>
      </c>
      <c r="F109" s="34">
        <v>5107.579283792097</v>
      </c>
      <c r="G109" s="20"/>
      <c r="H109" s="36"/>
      <c r="I109" s="34">
        <v>82.933</v>
      </c>
      <c r="J109" s="34"/>
      <c r="K109" s="34">
        <v>82.933</v>
      </c>
      <c r="L109" s="34">
        <v>5360.631326521108</v>
      </c>
      <c r="M109" s="34">
        <v>10468.210610313206</v>
      </c>
      <c r="N109" s="36"/>
      <c r="O109" s="4">
        <f>F109/M109</f>
        <v>0.4879133095354565</v>
      </c>
      <c r="P109" s="4">
        <f>L109/M109</f>
        <v>0.5120866904645435</v>
      </c>
    </row>
    <row r="110" spans="1:16" ht="12.75">
      <c r="A110" s="59">
        <v>1490</v>
      </c>
      <c r="B110" s="20"/>
      <c r="C110" s="34">
        <v>950.873125</v>
      </c>
      <c r="D110" s="34"/>
      <c r="E110" s="34">
        <v>950.873125</v>
      </c>
      <c r="F110" s="34">
        <v>5508.3343916359245</v>
      </c>
      <c r="G110" s="20"/>
      <c r="H110" s="36"/>
      <c r="I110" s="34">
        <v>140.863125</v>
      </c>
      <c r="J110" s="34"/>
      <c r="K110" s="34">
        <v>140.863125</v>
      </c>
      <c r="L110" s="34">
        <v>9105.12438506576</v>
      </c>
      <c r="M110" s="34">
        <v>14613.458776701684</v>
      </c>
      <c r="N110" s="36"/>
      <c r="O110" s="4">
        <f>F110/M110</f>
        <v>0.37693570535251325</v>
      </c>
      <c r="P110" s="4">
        <f>L110/M110</f>
        <v>0.6230642946474868</v>
      </c>
    </row>
    <row r="111" spans="1:14" ht="12.75">
      <c r="A111" s="59"/>
      <c r="B111" s="20"/>
      <c r="C111" s="36"/>
      <c r="D111" s="36"/>
      <c r="E111" s="36"/>
      <c r="F111" s="36"/>
      <c r="G111" s="20"/>
      <c r="H111" s="36"/>
      <c r="I111" s="36"/>
      <c r="J111" s="36"/>
      <c r="K111" s="36"/>
      <c r="L111" s="36"/>
      <c r="M111" s="36"/>
      <c r="N111" s="36"/>
    </row>
    <row r="112" spans="1:16" ht="12.75">
      <c r="A112" s="59" t="s">
        <v>90</v>
      </c>
      <c r="B112" s="20"/>
      <c r="C112" s="36">
        <f>SUM(C106:C111)/5</f>
        <v>926.7850249999999</v>
      </c>
      <c r="D112" s="36"/>
      <c r="E112" s="36">
        <f>SUM(E106:E111)/5</f>
        <v>926.7850249999999</v>
      </c>
      <c r="F112" s="36">
        <f>SUM(F106:F111)/5</f>
        <v>5368.793893360547</v>
      </c>
      <c r="G112" s="20"/>
      <c r="H112" s="36"/>
      <c r="I112" s="36">
        <f>SUM(I106:I111)/5</f>
        <v>129.749025</v>
      </c>
      <c r="J112" s="36">
        <f>SUM(J106:J111)/5</f>
        <v>0</v>
      </c>
      <c r="K112" s="36">
        <v>129.749025</v>
      </c>
      <c r="L112" s="36">
        <f>SUM(L106:L111)/5</f>
        <v>8386.730107443</v>
      </c>
      <c r="M112" s="36">
        <f>SUM(M106:M111)/5</f>
        <v>13755.524000803547</v>
      </c>
      <c r="N112" s="36"/>
      <c r="O112" s="4">
        <f>F112/M112</f>
        <v>0.3903009360491772</v>
      </c>
      <c r="P112" s="4">
        <f>L112/M112</f>
        <v>0.6096990639508229</v>
      </c>
    </row>
    <row r="113" spans="1:16" ht="12.75">
      <c r="A113" s="59"/>
      <c r="B113" s="20"/>
      <c r="C113" s="36"/>
      <c r="D113" s="36"/>
      <c r="E113" s="36"/>
      <c r="F113" s="36"/>
      <c r="G113" s="20"/>
      <c r="H113" s="36"/>
      <c r="I113" s="36"/>
      <c r="J113" s="36"/>
      <c r="K113" s="36"/>
      <c r="L113" s="36"/>
      <c r="M113" s="36"/>
      <c r="N113" s="36"/>
      <c r="O113" s="4"/>
      <c r="P113" s="4"/>
    </row>
    <row r="114" spans="1:16" ht="12.75">
      <c r="A114" s="59">
        <v>1491</v>
      </c>
      <c r="B114" s="20"/>
      <c r="C114" s="34">
        <v>985.4631875</v>
      </c>
      <c r="D114" s="34"/>
      <c r="E114" s="34">
        <v>985.4631875</v>
      </c>
      <c r="F114" s="34">
        <v>5708.711945557839</v>
      </c>
      <c r="G114" s="20"/>
      <c r="H114" s="36"/>
      <c r="I114" s="34">
        <v>169.8281875</v>
      </c>
      <c r="J114" s="34"/>
      <c r="K114" s="34">
        <v>169.8281875</v>
      </c>
      <c r="L114" s="34">
        <v>10977.370914338086</v>
      </c>
      <c r="M114" s="34">
        <v>16686.082859895923</v>
      </c>
      <c r="N114" s="36"/>
      <c r="O114" s="4">
        <f>F114/M114</f>
        <v>0.3421241518150681</v>
      </c>
      <c r="P114" s="4">
        <f>L114/M114</f>
        <v>0.6578758481849319</v>
      </c>
    </row>
    <row r="115" spans="1:16" ht="12.75">
      <c r="A115" s="59">
        <v>1492</v>
      </c>
      <c r="B115" s="20"/>
      <c r="C115" s="34">
        <v>1020.0532499999999</v>
      </c>
      <c r="D115" s="34"/>
      <c r="E115" s="34">
        <v>1020.0532499999999</v>
      </c>
      <c r="F115" s="34">
        <v>5909.089499479752</v>
      </c>
      <c r="G115" s="20"/>
      <c r="H115" s="36"/>
      <c r="I115" s="34">
        <v>198.79325</v>
      </c>
      <c r="J115" s="34"/>
      <c r="K115" s="34">
        <v>198.79325</v>
      </c>
      <c r="L115" s="34">
        <v>12849.61744361041</v>
      </c>
      <c r="M115" s="34">
        <v>18758.70694309016</v>
      </c>
      <c r="N115" s="36"/>
      <c r="O115" s="4">
        <f>F115/M115</f>
        <v>0.3150051609317553</v>
      </c>
      <c r="P115" s="4">
        <f>L115/M115</f>
        <v>0.6849948390682448</v>
      </c>
    </row>
    <row r="116" spans="1:16" ht="12.75">
      <c r="A116" s="59">
        <v>1493</v>
      </c>
      <c r="B116" s="20"/>
      <c r="C116" s="34">
        <v>1306.391625</v>
      </c>
      <c r="D116" s="34"/>
      <c r="E116" s="34">
        <v>1306.391625</v>
      </c>
      <c r="F116" s="34">
        <v>7567.8255360647</v>
      </c>
      <c r="G116" s="20"/>
      <c r="H116" s="36"/>
      <c r="I116" s="34">
        <v>283.218125</v>
      </c>
      <c r="J116" s="34"/>
      <c r="K116" s="34">
        <v>283.218125</v>
      </c>
      <c r="L116" s="34">
        <v>18306.680731597444</v>
      </c>
      <c r="M116" s="34">
        <v>25874.506267662146</v>
      </c>
      <c r="N116" s="36"/>
      <c r="O116" s="4">
        <f>F116/M116</f>
        <v>0.29248193019717394</v>
      </c>
      <c r="P116" s="4">
        <f>L116/M116</f>
        <v>0.7075180698028259</v>
      </c>
    </row>
    <row r="117" spans="1:16" ht="12.75">
      <c r="A117" s="59">
        <v>1494</v>
      </c>
      <c r="B117" s="20"/>
      <c r="C117" s="34">
        <v>1449.5608124999999</v>
      </c>
      <c r="D117" s="34"/>
      <c r="E117" s="34">
        <v>1449.5608124999999</v>
      </c>
      <c r="F117" s="34">
        <v>8397.193554357174</v>
      </c>
      <c r="G117" s="20"/>
      <c r="H117" s="36"/>
      <c r="I117" s="34">
        <v>325.43056249999995</v>
      </c>
      <c r="J117" s="34"/>
      <c r="K117" s="34">
        <v>325.43056249999995</v>
      </c>
      <c r="L117" s="34">
        <v>21035.21237559096</v>
      </c>
      <c r="M117" s="34">
        <v>29432.405929948134</v>
      </c>
      <c r="N117" s="36"/>
      <c r="O117" s="4">
        <f>F117/M117</f>
        <v>0.28530435379096347</v>
      </c>
      <c r="P117" s="4">
        <f>L117/M117</f>
        <v>0.7146956462090365</v>
      </c>
    </row>
    <row r="118" spans="1:16" ht="12.75">
      <c r="A118" s="59">
        <v>1495</v>
      </c>
      <c r="B118" s="20"/>
      <c r="C118" s="34">
        <v>1592.73</v>
      </c>
      <c r="D118" s="34"/>
      <c r="E118" s="34">
        <v>1592.73</v>
      </c>
      <c r="F118" s="34">
        <v>9226.561572649649</v>
      </c>
      <c r="G118" s="20"/>
      <c r="H118" s="36"/>
      <c r="I118" s="34">
        <v>367.643</v>
      </c>
      <c r="J118" s="34"/>
      <c r="K118" s="34">
        <v>367.643</v>
      </c>
      <c r="L118" s="34">
        <v>23763.74401958448</v>
      </c>
      <c r="M118" s="34">
        <v>32990.30559223413</v>
      </c>
      <c r="N118" s="36"/>
      <c r="O118" s="4">
        <f>F118/M118</f>
        <v>0.2796749350155025</v>
      </c>
      <c r="P118" s="4">
        <f>L118/M118</f>
        <v>0.7203250649844974</v>
      </c>
    </row>
    <row r="119" spans="1:16" ht="12.75">
      <c r="A119" s="59"/>
      <c r="B119" s="20"/>
      <c r="C119" s="36"/>
      <c r="D119" s="36"/>
      <c r="E119" s="36"/>
      <c r="F119" s="36"/>
      <c r="G119" s="20"/>
      <c r="H119" s="36"/>
      <c r="I119" s="36"/>
      <c r="J119" s="36"/>
      <c r="K119" s="36"/>
      <c r="L119" s="36"/>
      <c r="M119" s="36"/>
      <c r="N119" s="36"/>
      <c r="O119" s="4"/>
      <c r="P119" s="4"/>
    </row>
    <row r="120" spans="1:16" ht="12.75">
      <c r="A120" s="59" t="s">
        <v>93</v>
      </c>
      <c r="B120" s="20"/>
      <c r="C120" s="36">
        <f>SUM(C114:C119)/5</f>
        <v>1270.839775</v>
      </c>
      <c r="D120" s="36"/>
      <c r="E120" s="36">
        <f>SUM(E114:E119)/5</f>
        <v>1270.839775</v>
      </c>
      <c r="F120" s="36">
        <f>SUM(F114:F119)/5</f>
        <v>7361.876421621823</v>
      </c>
      <c r="G120" s="20"/>
      <c r="H120" s="36"/>
      <c r="I120" s="36">
        <f>SUM(I114:I119)/5</f>
        <v>268.982625</v>
      </c>
      <c r="J120" s="36">
        <f>SUM(J114:J119)/5</f>
        <v>0</v>
      </c>
      <c r="K120" s="36">
        <v>268.982625</v>
      </c>
      <c r="L120" s="36">
        <f>SUM(L114:L119)/5</f>
        <v>17386.52509694428</v>
      </c>
      <c r="M120" s="36">
        <f>SUM(M114:M119)/5</f>
        <v>24748.401518566097</v>
      </c>
      <c r="N120" s="36"/>
      <c r="O120" s="4">
        <f>F120/M120</f>
        <v>0.29746876444116965</v>
      </c>
      <c r="P120" s="4">
        <f>L120/M120</f>
        <v>0.7025312355588306</v>
      </c>
    </row>
    <row r="121" spans="1:16" ht="12.75">
      <c r="A121" s="59"/>
      <c r="B121" s="20"/>
      <c r="C121" s="36"/>
      <c r="D121" s="36"/>
      <c r="E121" s="36"/>
      <c r="F121" s="36"/>
      <c r="G121" s="20"/>
      <c r="H121" s="36"/>
      <c r="I121" s="36"/>
      <c r="J121" s="36"/>
      <c r="K121" s="36"/>
      <c r="L121" s="36"/>
      <c r="M121" s="36"/>
      <c r="N121" s="36"/>
      <c r="O121" s="4"/>
      <c r="P121" s="4"/>
    </row>
    <row r="122" spans="1:16" ht="12.75">
      <c r="A122" s="59">
        <v>1496</v>
      </c>
      <c r="B122" s="20"/>
      <c r="C122" s="34">
        <v>747.482</v>
      </c>
      <c r="D122" s="34"/>
      <c r="E122" s="34">
        <v>747.482</v>
      </c>
      <c r="F122" s="34">
        <v>4330.105352098161</v>
      </c>
      <c r="G122" s="20"/>
      <c r="H122" s="36"/>
      <c r="I122" s="34">
        <v>204.098</v>
      </c>
      <c r="J122" s="34"/>
      <c r="K122" s="34">
        <v>204.098</v>
      </c>
      <c r="L122" s="34">
        <v>13192.506390463448</v>
      </c>
      <c r="M122" s="34">
        <v>17522.61174256161</v>
      </c>
      <c r="N122" s="36"/>
      <c r="O122" s="4">
        <f>F122/M122</f>
        <v>0.2471152939821486</v>
      </c>
      <c r="P122" s="4">
        <f>L122/M122</f>
        <v>0.7528847060178514</v>
      </c>
    </row>
    <row r="123" spans="1:16" ht="12.75">
      <c r="A123" s="59">
        <v>1497</v>
      </c>
      <c r="B123" s="20"/>
      <c r="C123" s="34">
        <v>1459.972</v>
      </c>
      <c r="D123" s="34"/>
      <c r="E123" s="34">
        <v>1459.972</v>
      </c>
      <c r="F123" s="34">
        <v>8457.504757456978</v>
      </c>
      <c r="G123" s="20"/>
      <c r="H123" s="36"/>
      <c r="I123" s="34">
        <v>266.259</v>
      </c>
      <c r="J123" s="34"/>
      <c r="K123" s="34">
        <v>266.259</v>
      </c>
      <c r="L123" s="34">
        <v>17210.475159082438</v>
      </c>
      <c r="M123" s="34">
        <v>25667.979916539414</v>
      </c>
      <c r="N123" s="36"/>
      <c r="O123" s="4">
        <f>F123/M123</f>
        <v>0.32949631349864433</v>
      </c>
      <c r="P123" s="4">
        <f>L123/M123</f>
        <v>0.6705036865013557</v>
      </c>
    </row>
    <row r="124" spans="1:16" ht="12.75">
      <c r="A124" s="59">
        <v>1498</v>
      </c>
      <c r="B124" s="20"/>
      <c r="C124" s="34">
        <v>2494.261</v>
      </c>
      <c r="D124" s="34"/>
      <c r="E124" s="34">
        <v>2494.261</v>
      </c>
      <c r="F124" s="34">
        <v>14449.06085448173</v>
      </c>
      <c r="G124" s="20"/>
      <c r="H124" s="36"/>
      <c r="I124" s="34">
        <v>302.202</v>
      </c>
      <c r="J124" s="34"/>
      <c r="K124" s="34">
        <v>302.202</v>
      </c>
      <c r="L124" s="34">
        <v>19533.762291697294</v>
      </c>
      <c r="M124" s="34">
        <v>33982.82314617903</v>
      </c>
      <c r="N124" s="36"/>
      <c r="O124" s="4">
        <f>F124/M124</f>
        <v>0.42518718331105926</v>
      </c>
      <c r="P124" s="4">
        <f>L124/M124</f>
        <v>0.5748128166889407</v>
      </c>
    </row>
    <row r="125" spans="1:16" ht="12.75">
      <c r="A125" s="59">
        <v>1499</v>
      </c>
      <c r="B125" s="20"/>
      <c r="C125" s="34">
        <v>4325.385</v>
      </c>
      <c r="D125" s="34"/>
      <c r="E125" s="34">
        <v>4325.385</v>
      </c>
      <c r="F125" s="34">
        <v>25056.62041144149</v>
      </c>
      <c r="G125" s="20"/>
      <c r="H125" s="36"/>
      <c r="I125" s="34">
        <v>341.849</v>
      </c>
      <c r="J125" s="34"/>
      <c r="K125" s="34">
        <v>341.849</v>
      </c>
      <c r="L125" s="34">
        <v>22096.468936851605</v>
      </c>
      <c r="M125" s="34">
        <v>47153.0893482931</v>
      </c>
      <c r="N125" s="36"/>
      <c r="O125" s="4">
        <f>F125/M125</f>
        <v>0.5313887331191062</v>
      </c>
      <c r="P125" s="4">
        <f>L125/M125</f>
        <v>0.4686112668808937</v>
      </c>
    </row>
    <row r="126" spans="1:16" ht="12.75">
      <c r="A126" s="59">
        <v>1500</v>
      </c>
      <c r="B126" s="20"/>
      <c r="C126" s="34">
        <v>3427.6</v>
      </c>
      <c r="D126" s="34"/>
      <c r="E126" s="34">
        <v>3427.6</v>
      </c>
      <c r="F126" s="34">
        <v>19855.821417574814</v>
      </c>
      <c r="G126" s="20"/>
      <c r="H126" s="36">
        <v>754.708</v>
      </c>
      <c r="I126" s="34">
        <v>280.221378344783</v>
      </c>
      <c r="J126" s="34"/>
      <c r="K126" s="34">
        <v>280.221378344783</v>
      </c>
      <c r="L126" s="34">
        <v>18112.976729600607</v>
      </c>
      <c r="M126" s="34">
        <v>37968.79814717542</v>
      </c>
      <c r="N126" s="36"/>
      <c r="O126" s="4">
        <f>F126/M126</f>
        <v>0.5229510120549321</v>
      </c>
      <c r="P126" s="4">
        <f>L126/M126</f>
        <v>0.477048987945068</v>
      </c>
    </row>
    <row r="127" spans="1:16" ht="12.75">
      <c r="A127" s="59"/>
      <c r="B127" s="20"/>
      <c r="C127" s="36"/>
      <c r="D127" s="36"/>
      <c r="E127" s="36"/>
      <c r="F127" s="36"/>
      <c r="G127" s="20"/>
      <c r="H127" s="36"/>
      <c r="I127" s="36"/>
      <c r="J127" s="36"/>
      <c r="K127" s="36"/>
      <c r="L127" s="36"/>
      <c r="M127" s="36"/>
      <c r="N127" s="36"/>
      <c r="O127" s="4"/>
      <c r="P127" s="4"/>
    </row>
    <row r="128" spans="1:16" ht="12.75">
      <c r="A128" s="59" t="s">
        <v>94</v>
      </c>
      <c r="B128" s="20"/>
      <c r="C128" s="36">
        <f>SUM(C122:C127)/5</f>
        <v>2490.94</v>
      </c>
      <c r="D128" s="36"/>
      <c r="E128" s="36">
        <f>SUM(E122:E127)/5</f>
        <v>2490.94</v>
      </c>
      <c r="F128" s="36">
        <f>SUM(F122:F127)/5</f>
        <v>14429.822558610636</v>
      </c>
      <c r="G128" s="20"/>
      <c r="H128" s="36"/>
      <c r="I128" s="36">
        <f>SUM(I122:I127)/5</f>
        <v>278.92587566895656</v>
      </c>
      <c r="J128" s="36">
        <f>SUM(J122:J127)/5</f>
        <v>0</v>
      </c>
      <c r="K128" s="36">
        <v>278.92587566895656</v>
      </c>
      <c r="L128" s="36">
        <f>SUM(L122:L127)/5</f>
        <v>18029.237901539076</v>
      </c>
      <c r="M128" s="36">
        <f>SUM(M122:M127)/5</f>
        <v>32459.06046014971</v>
      </c>
      <c r="N128" s="36"/>
      <c r="O128" s="4">
        <f>F128/M128</f>
        <v>0.44455453589996125</v>
      </c>
      <c r="P128" s="4">
        <f>L128/M128</f>
        <v>0.5554454641000388</v>
      </c>
    </row>
    <row r="129" spans="1:16" ht="12.75">
      <c r="A129" s="59"/>
      <c r="B129" s="20"/>
      <c r="C129" s="36"/>
      <c r="D129" s="36"/>
      <c r="E129" s="36"/>
      <c r="F129" s="36"/>
      <c r="G129" s="20"/>
      <c r="H129" s="36"/>
      <c r="I129" s="36"/>
      <c r="J129" s="36"/>
      <c r="K129" s="36"/>
      <c r="L129" s="36"/>
      <c r="M129" s="36"/>
      <c r="N129" s="36"/>
      <c r="O129" s="4"/>
      <c r="P129" s="4"/>
    </row>
    <row r="130" spans="1:16" ht="12.75">
      <c r="A130" s="59">
        <v>1501</v>
      </c>
      <c r="B130" s="20"/>
      <c r="C130" s="34">
        <v>3567.04</v>
      </c>
      <c r="D130" s="34"/>
      <c r="E130" s="34">
        <v>3567.04</v>
      </c>
      <c r="F130" s="34">
        <v>20663.58654141267</v>
      </c>
      <c r="G130" s="20"/>
      <c r="H130" s="36">
        <v>1040.177</v>
      </c>
      <c r="I130" s="34">
        <v>386.2153742408207</v>
      </c>
      <c r="J130" s="34"/>
      <c r="K130" s="34">
        <v>386.2153742408207</v>
      </c>
      <c r="L130" s="34">
        <v>24964.226953557896</v>
      </c>
      <c r="M130" s="34">
        <v>45627.81349497057</v>
      </c>
      <c r="N130" s="36"/>
      <c r="O130" s="4">
        <f>F130/M130</f>
        <v>0.4528726002548941</v>
      </c>
      <c r="P130" s="4">
        <f>L130/M130</f>
        <v>0.5471273997451058</v>
      </c>
    </row>
    <row r="131" spans="1:16" ht="12.75">
      <c r="A131" s="59">
        <v>1502</v>
      </c>
      <c r="B131" s="20"/>
      <c r="C131" s="34">
        <v>3220.76</v>
      </c>
      <c r="D131" s="34"/>
      <c r="E131" s="34">
        <v>3220.76</v>
      </c>
      <c r="F131" s="34">
        <v>18657.613312191697</v>
      </c>
      <c r="G131" s="20"/>
      <c r="H131" s="36">
        <v>1232.083</v>
      </c>
      <c r="I131" s="34">
        <v>457.4696392448143</v>
      </c>
      <c r="J131" s="34"/>
      <c r="K131" s="34">
        <v>457.4696392448143</v>
      </c>
      <c r="L131" s="34">
        <v>29569.967070624014</v>
      </c>
      <c r="M131" s="34">
        <v>48227.58038281571</v>
      </c>
      <c r="N131" s="36"/>
      <c r="O131" s="4">
        <f>F131/M131</f>
        <v>0.3868660456131802</v>
      </c>
      <c r="P131" s="4">
        <f>L131/M131</f>
        <v>0.6131339543868198</v>
      </c>
    </row>
    <row r="132" spans="1:16" ht="12.75">
      <c r="A132" s="59">
        <v>1503</v>
      </c>
      <c r="B132" s="20"/>
      <c r="C132" s="34">
        <v>2516.02</v>
      </c>
      <c r="D132" s="34"/>
      <c r="E132" s="34">
        <v>2516.02</v>
      </c>
      <c r="F132" s="34">
        <v>14575.109056788011</v>
      </c>
      <c r="G132" s="20"/>
      <c r="H132" s="36">
        <v>1192.594</v>
      </c>
      <c r="I132" s="34">
        <v>442.8074626023815</v>
      </c>
      <c r="J132" s="34"/>
      <c r="K132" s="34">
        <v>442.8074626023815</v>
      </c>
      <c r="L132" s="34">
        <v>28622.231869625484</v>
      </c>
      <c r="M132" s="34">
        <v>43197.3409264135</v>
      </c>
      <c r="N132" s="36"/>
      <c r="O132" s="4">
        <f>F132/M132</f>
        <v>0.3374075520439245</v>
      </c>
      <c r="P132" s="4">
        <f>L132/M132</f>
        <v>0.6625924479560755</v>
      </c>
    </row>
    <row r="133" spans="1:16" ht="12.75">
      <c r="A133" s="59">
        <v>1504</v>
      </c>
      <c r="B133" s="20"/>
      <c r="C133" s="34">
        <v>4470.39</v>
      </c>
      <c r="D133" s="34"/>
      <c r="E133" s="34">
        <v>4470.39</v>
      </c>
      <c r="F133" s="34">
        <v>25896.623149408417</v>
      </c>
      <c r="G133" s="20"/>
      <c r="H133" s="36">
        <v>1511.74</v>
      </c>
      <c r="I133" s="34">
        <v>561.305652648365</v>
      </c>
      <c r="J133" s="34"/>
      <c r="K133" s="34">
        <v>561.305652648365</v>
      </c>
      <c r="L133" s="34">
        <v>36281.729412178516</v>
      </c>
      <c r="M133" s="34">
        <v>62178.35256158693</v>
      </c>
      <c r="N133" s="36"/>
      <c r="O133" s="4">
        <f>F133/M133</f>
        <v>0.41648937423612364</v>
      </c>
      <c r="P133" s="4">
        <f>L133/M133</f>
        <v>0.5835106257638764</v>
      </c>
    </row>
    <row r="134" spans="1:16" ht="12.75">
      <c r="A134" s="59">
        <v>1505</v>
      </c>
      <c r="B134" s="20"/>
      <c r="C134" s="34">
        <v>7793.51</v>
      </c>
      <c r="D134" s="34"/>
      <c r="E134" s="34">
        <v>7793.51</v>
      </c>
      <c r="F134" s="34">
        <v>45147.20001636232</v>
      </c>
      <c r="G134" s="20"/>
      <c r="H134" s="36">
        <v>1980.135</v>
      </c>
      <c r="I134" s="34">
        <v>735.2196598005413</v>
      </c>
      <c r="J134" s="34"/>
      <c r="K134" s="34">
        <v>735.2196598005413</v>
      </c>
      <c r="L134" s="34">
        <v>47523.199934898934</v>
      </c>
      <c r="M134" s="34">
        <v>92670.39995126126</v>
      </c>
      <c r="N134" s="36"/>
      <c r="O134" s="4">
        <f>F134/M134</f>
        <v>0.4871803730220964</v>
      </c>
      <c r="P134" s="4">
        <f>L134/M134</f>
        <v>0.5128196269779035</v>
      </c>
    </row>
    <row r="135" spans="1:16" ht="12.75">
      <c r="A135" s="59"/>
      <c r="B135" s="20"/>
      <c r="C135" s="36"/>
      <c r="D135" s="36"/>
      <c r="E135" s="36"/>
      <c r="F135" s="36"/>
      <c r="G135" s="20"/>
      <c r="H135" s="36"/>
      <c r="I135" s="36"/>
      <c r="J135" s="36"/>
      <c r="K135" s="36"/>
      <c r="L135" s="36"/>
      <c r="M135" s="36"/>
      <c r="N135" s="36"/>
      <c r="O135" s="4"/>
      <c r="P135" s="4"/>
    </row>
    <row r="136" spans="1:16" ht="12.75">
      <c r="A136" s="59" t="s">
        <v>96</v>
      </c>
      <c r="B136" s="20"/>
      <c r="C136" s="36">
        <f>SUM(C130:C135)/5</f>
        <v>4313.544</v>
      </c>
      <c r="D136" s="36"/>
      <c r="E136" s="36">
        <f>SUM(E130:E135)/5</f>
        <v>4313.544</v>
      </c>
      <c r="F136" s="36">
        <f>SUM(F130:F135)/5</f>
        <v>24988.02641523262</v>
      </c>
      <c r="G136" s="20"/>
      <c r="H136" s="36"/>
      <c r="I136" s="36">
        <f>SUM(I130:I135)/5</f>
        <v>516.6035577073845</v>
      </c>
      <c r="J136" s="36">
        <f>SUM(J130:J135)/5</f>
        <v>0</v>
      </c>
      <c r="K136" s="36">
        <v>516.6035577073845</v>
      </c>
      <c r="L136" s="36">
        <f>SUM(L130:L135)/5</f>
        <v>33392.27104817697</v>
      </c>
      <c r="M136" s="36">
        <f>SUM(M130:M135)/5</f>
        <v>58380.2974634096</v>
      </c>
      <c r="N136" s="36"/>
      <c r="O136" s="4">
        <f>F136/M136</f>
        <v>0.42802156722298473</v>
      </c>
      <c r="P136" s="4">
        <f>L136/M136</f>
        <v>0.571978432777015</v>
      </c>
    </row>
    <row r="137" spans="1:14" ht="12.75">
      <c r="A137" s="59"/>
      <c r="B137" s="20"/>
      <c r="C137" s="36"/>
      <c r="D137" s="36"/>
      <c r="E137" s="36"/>
      <c r="F137" s="36"/>
      <c r="G137" s="20"/>
      <c r="H137" s="36"/>
      <c r="I137" s="36"/>
      <c r="J137" s="36"/>
      <c r="K137" s="36"/>
      <c r="L137" s="36"/>
      <c r="M137" s="36"/>
      <c r="N137" s="36"/>
    </row>
    <row r="138" spans="1:16" ht="12.75">
      <c r="A138" s="59">
        <v>1506</v>
      </c>
      <c r="B138" s="20"/>
      <c r="C138" s="34">
        <v>6648.43</v>
      </c>
      <c r="D138" s="34"/>
      <c r="E138" s="34">
        <v>6648.43</v>
      </c>
      <c r="F138" s="34">
        <v>38513.84023434675</v>
      </c>
      <c r="G138" s="20"/>
      <c r="H138" s="36">
        <v>3981.385</v>
      </c>
      <c r="I138" s="34">
        <v>1478.2792714814789</v>
      </c>
      <c r="J138" s="34"/>
      <c r="K138" s="34">
        <v>1478.2792714814789</v>
      </c>
      <c r="L138" s="34">
        <v>95553.15944256709</v>
      </c>
      <c r="M138" s="34">
        <v>134066.99967691384</v>
      </c>
      <c r="N138" s="36"/>
      <c r="O138" s="4">
        <f>F138/M138</f>
        <v>0.28727308231824916</v>
      </c>
      <c r="P138" s="4">
        <f>L138/M138</f>
        <v>0.7127269176817509</v>
      </c>
    </row>
    <row r="139" spans="1:16" ht="12.75">
      <c r="A139" s="59">
        <v>1507</v>
      </c>
      <c r="B139" s="20"/>
      <c r="C139" s="34">
        <v>5230.92</v>
      </c>
      <c r="D139" s="34"/>
      <c r="E139" s="34">
        <v>5230.92</v>
      </c>
      <c r="F139" s="34">
        <v>30302.31455526329</v>
      </c>
      <c r="G139" s="20"/>
      <c r="H139" s="36">
        <v>3566.99</v>
      </c>
      <c r="I139" s="34">
        <v>1324.4153425458026</v>
      </c>
      <c r="J139" s="34"/>
      <c r="K139" s="34">
        <v>1324.4153425458026</v>
      </c>
      <c r="L139" s="34">
        <v>85607.6878272366</v>
      </c>
      <c r="M139" s="34">
        <v>115910.0023824999</v>
      </c>
      <c r="N139" s="36"/>
      <c r="O139" s="4">
        <f>F139/M139</f>
        <v>0.2614296776154526</v>
      </c>
      <c r="P139" s="4">
        <f>L139/M139</f>
        <v>0.7385703223845473</v>
      </c>
    </row>
    <row r="140" spans="1:16" ht="12.75">
      <c r="A140" s="59">
        <v>1508</v>
      </c>
      <c r="B140" s="20"/>
      <c r="C140" s="34">
        <v>4140.77</v>
      </c>
      <c r="D140" s="34"/>
      <c r="E140" s="34">
        <v>4140.77</v>
      </c>
      <c r="F140" s="34">
        <v>23987.160010284537</v>
      </c>
      <c r="G140" s="20"/>
      <c r="H140" s="36">
        <v>5112.146</v>
      </c>
      <c r="I140" s="34">
        <v>1898.1282806327333</v>
      </c>
      <c r="J140" s="34"/>
      <c r="K140" s="34">
        <v>1898.1282806327333</v>
      </c>
      <c r="L140" s="34">
        <v>122691.4005632918</v>
      </c>
      <c r="M140" s="34">
        <v>146678.56057357634</v>
      </c>
      <c r="N140" s="36"/>
      <c r="O140" s="4">
        <f>F140/M140</f>
        <v>0.16353555636545936</v>
      </c>
      <c r="P140" s="4">
        <f>L140/M140</f>
        <v>0.8364644436345406</v>
      </c>
    </row>
    <row r="141" spans="1:16" ht="12.75">
      <c r="A141" s="59">
        <v>1509</v>
      </c>
      <c r="B141" s="20"/>
      <c r="C141" s="34">
        <v>1595.34</v>
      </c>
      <c r="D141" s="34"/>
      <c r="E141" s="34">
        <v>1595.34</v>
      </c>
      <c r="F141" s="34">
        <v>9241.681100570022</v>
      </c>
      <c r="G141" s="20"/>
      <c r="H141" s="36">
        <v>4968.792</v>
      </c>
      <c r="I141" s="34">
        <v>1844.9012637318422</v>
      </c>
      <c r="J141" s="34"/>
      <c r="K141" s="34">
        <v>1844.9012637318422</v>
      </c>
      <c r="L141" s="34">
        <v>119250.90746384785</v>
      </c>
      <c r="M141" s="34">
        <v>128492.58856441788</v>
      </c>
      <c r="N141" s="36"/>
      <c r="O141" s="4">
        <f>F141/M141</f>
        <v>0.07192384559936577</v>
      </c>
      <c r="P141" s="4">
        <f>L141/M141</f>
        <v>0.9280761544006342</v>
      </c>
    </row>
    <row r="142" spans="1:16" ht="12.75">
      <c r="A142" s="59">
        <v>1510</v>
      </c>
      <c r="B142" s="20"/>
      <c r="C142" s="34">
        <v>550.6</v>
      </c>
      <c r="D142" s="34"/>
      <c r="E142" s="34">
        <v>550.6</v>
      </c>
      <c r="F142" s="34">
        <v>3189.583169715455</v>
      </c>
      <c r="G142" s="20"/>
      <c r="H142" s="36">
        <v>2881.385</v>
      </c>
      <c r="I142" s="34">
        <v>1069.8517522564787</v>
      </c>
      <c r="J142" s="34"/>
      <c r="K142" s="34">
        <v>1069.8517522564787</v>
      </c>
      <c r="L142" s="34">
        <v>69153.18169943905</v>
      </c>
      <c r="M142" s="34">
        <v>72342.7648691545</v>
      </c>
      <c r="N142" s="36"/>
      <c r="O142" s="4">
        <f>F142/M142</f>
        <v>0.04408987098411867</v>
      </c>
      <c r="P142" s="4">
        <f>L142/M142</f>
        <v>0.9559101290158813</v>
      </c>
    </row>
    <row r="143" spans="1:16" ht="12.75">
      <c r="A143" s="59"/>
      <c r="B143" s="20"/>
      <c r="C143" s="36"/>
      <c r="D143" s="36"/>
      <c r="E143" s="36"/>
      <c r="F143" s="36"/>
      <c r="G143" s="20"/>
      <c r="H143" s="36"/>
      <c r="I143" s="36"/>
      <c r="J143" s="36"/>
      <c r="K143" s="36"/>
      <c r="L143" s="36"/>
      <c r="M143" s="36"/>
      <c r="N143" s="36"/>
      <c r="O143" s="4"/>
      <c r="P143" s="4"/>
    </row>
    <row r="144" spans="1:16" ht="12.75">
      <c r="A144" s="59" t="s">
        <v>98</v>
      </c>
      <c r="B144" s="20"/>
      <c r="C144" s="36">
        <f>SUM(C138:C143)/5</f>
        <v>3633.2119999999995</v>
      </c>
      <c r="D144" s="36"/>
      <c r="E144" s="36">
        <f>SUM(E138:E143)/5</f>
        <v>3633.2119999999995</v>
      </c>
      <c r="F144" s="36">
        <f>SUM(F138:F143)/5</f>
        <v>21046.91581403601</v>
      </c>
      <c r="G144" s="20"/>
      <c r="H144" s="36"/>
      <c r="I144" s="36">
        <f>SUM(I138:I143)/5</f>
        <v>1523.1151821296671</v>
      </c>
      <c r="J144" s="36">
        <f>SUM(J138:J143)/5</f>
        <v>0</v>
      </c>
      <c r="K144" s="36">
        <v>1523.1151821296671</v>
      </c>
      <c r="L144" s="36">
        <f>SUM(L138:L143)/5</f>
        <v>98451.26739927648</v>
      </c>
      <c r="M144" s="36">
        <f>SUM(M138:M143)/5</f>
        <v>119498.1832133125</v>
      </c>
      <c r="N144" s="36"/>
      <c r="O144" s="4">
        <f>F144/M144</f>
        <v>0.17612749623536797</v>
      </c>
      <c r="P144" s="4">
        <f>L144/M144</f>
        <v>0.823872503764632</v>
      </c>
    </row>
    <row r="145" spans="1:16" ht="12.75">
      <c r="A145" s="59"/>
      <c r="B145" s="20"/>
      <c r="C145" s="36"/>
      <c r="D145" s="36"/>
      <c r="E145" s="36"/>
      <c r="F145" s="36"/>
      <c r="G145" s="20"/>
      <c r="H145" s="36"/>
      <c r="I145" s="36"/>
      <c r="J145" s="36"/>
      <c r="K145" s="36"/>
      <c r="L145" s="36"/>
      <c r="M145" s="36"/>
      <c r="N145" s="36"/>
      <c r="O145" s="4"/>
      <c r="P145" s="4"/>
    </row>
    <row r="146" spans="1:16" ht="12.75">
      <c r="A146" s="59">
        <v>1511</v>
      </c>
      <c r="B146" s="20"/>
      <c r="C146" s="34">
        <v>198.36</v>
      </c>
      <c r="D146" s="34"/>
      <c r="E146" s="34">
        <v>198.36</v>
      </c>
      <c r="F146" s="34">
        <v>1149.084121948343</v>
      </c>
      <c r="G146" s="20"/>
      <c r="H146" s="36">
        <v>2103.646</v>
      </c>
      <c r="I146" s="34">
        <v>781.0790155523586</v>
      </c>
      <c r="J146" s="34"/>
      <c r="K146" s="34">
        <v>781.0790155523586</v>
      </c>
      <c r="L146" s="34">
        <v>50487.46143583665</v>
      </c>
      <c r="M146" s="34">
        <v>51636.54555778499</v>
      </c>
      <c r="N146" s="36"/>
      <c r="O146" s="4">
        <f>F146/M146</f>
        <v>0.022253311284397125</v>
      </c>
      <c r="P146" s="4">
        <f>L146/M146</f>
        <v>0.9777466887156029</v>
      </c>
    </row>
    <row r="147" spans="1:16" ht="12.75">
      <c r="A147" s="59">
        <v>1512</v>
      </c>
      <c r="B147" s="20"/>
      <c r="C147" s="34">
        <v>1792.44</v>
      </c>
      <c r="D147" s="34"/>
      <c r="E147" s="34">
        <v>1792.44</v>
      </c>
      <c r="F147" s="34">
        <v>10383.466140074046</v>
      </c>
      <c r="G147" s="20"/>
      <c r="H147" s="36">
        <v>1121.938</v>
      </c>
      <c r="I147" s="34">
        <v>416.5730491493255</v>
      </c>
      <c r="J147" s="34"/>
      <c r="K147" s="34">
        <v>416.5730491493255</v>
      </c>
      <c r="L147" s="34">
        <v>26926.489299245073</v>
      </c>
      <c r="M147" s="34">
        <v>37309.95543931912</v>
      </c>
      <c r="N147" s="36"/>
      <c r="O147" s="4">
        <f>F147/M147</f>
        <v>0.2783028287707742</v>
      </c>
      <c r="P147" s="4">
        <f>L147/M147</f>
        <v>0.7216971712292257</v>
      </c>
    </row>
    <row r="148" spans="1:16" ht="12.75">
      <c r="A148" s="59">
        <v>1513</v>
      </c>
      <c r="B148" s="20"/>
      <c r="C148" s="34">
        <v>2341.33</v>
      </c>
      <c r="D148" s="34"/>
      <c r="E148" s="34">
        <v>2341.33</v>
      </c>
      <c r="F148" s="34">
        <v>13563.143412186499</v>
      </c>
      <c r="G148" s="20"/>
      <c r="H148" s="36">
        <v>3047.792</v>
      </c>
      <c r="I148" s="34">
        <v>1131.638296067092</v>
      </c>
      <c r="J148" s="34"/>
      <c r="K148" s="34">
        <v>1131.638296067092</v>
      </c>
      <c r="L148" s="34">
        <v>73146.9463324397</v>
      </c>
      <c r="M148" s="34">
        <v>86710.0897446262</v>
      </c>
      <c r="N148" s="36"/>
      <c r="O148" s="4">
        <f>F148/M148</f>
        <v>0.15641943690903706</v>
      </c>
      <c r="P148" s="4">
        <f>L148/M148</f>
        <v>0.8435805630909629</v>
      </c>
    </row>
    <row r="149" spans="1:16" ht="12.75">
      <c r="A149" s="59">
        <v>1514</v>
      </c>
      <c r="B149" s="20"/>
      <c r="C149" s="34">
        <v>936.1</v>
      </c>
      <c r="D149" s="34"/>
      <c r="E149" s="34">
        <v>936.1</v>
      </c>
      <c r="F149" s="34">
        <v>5422.754822322262</v>
      </c>
      <c r="G149" s="20"/>
      <c r="H149" s="36">
        <v>1330.802</v>
      </c>
      <c r="I149" s="34">
        <v>494.1237813087895</v>
      </c>
      <c r="J149" s="34"/>
      <c r="K149" s="34">
        <v>494.1237813087895</v>
      </c>
      <c r="L149" s="34">
        <v>31939.221073191155</v>
      </c>
      <c r="M149" s="34">
        <v>37361.97589551342</v>
      </c>
      <c r="N149" s="36"/>
      <c r="O149" s="4">
        <f>F149/M149</f>
        <v>0.14514100746404715</v>
      </c>
      <c r="P149" s="4">
        <f>L149/M149</f>
        <v>0.8548589925359529</v>
      </c>
    </row>
    <row r="150" spans="1:16" ht="12.75">
      <c r="A150" s="59">
        <v>1515</v>
      </c>
      <c r="B150" s="20"/>
      <c r="C150" s="34">
        <v>176.83</v>
      </c>
      <c r="D150" s="34"/>
      <c r="E150" s="34">
        <v>176.83</v>
      </c>
      <c r="F150" s="34">
        <v>1024.3624989117034</v>
      </c>
      <c r="G150" s="20"/>
      <c r="H150" s="36">
        <v>1749.489</v>
      </c>
      <c r="I150" s="34">
        <v>649.5813201649327</v>
      </c>
      <c r="J150" s="34"/>
      <c r="K150" s="34">
        <v>649.5813201649327</v>
      </c>
      <c r="L150" s="34">
        <v>41987.700601679375</v>
      </c>
      <c r="M150" s="34">
        <v>43012.06310059108</v>
      </c>
      <c r="N150" s="36"/>
      <c r="O150" s="4">
        <f>F150/M150</f>
        <v>0.02381570250457543</v>
      </c>
      <c r="P150" s="4">
        <f>L150/M150</f>
        <v>0.9761842974954246</v>
      </c>
    </row>
    <row r="151" spans="1:16" ht="12.75">
      <c r="A151" s="59"/>
      <c r="B151" s="20"/>
      <c r="C151" s="36"/>
      <c r="D151" s="36"/>
      <c r="E151" s="36"/>
      <c r="F151" s="36"/>
      <c r="G151" s="20"/>
      <c r="H151" s="36"/>
      <c r="I151" s="36"/>
      <c r="J151" s="36"/>
      <c r="K151" s="36"/>
      <c r="L151" s="36"/>
      <c r="M151" s="36"/>
      <c r="N151" s="36"/>
      <c r="O151" s="4"/>
      <c r="P151" s="4"/>
    </row>
    <row r="152" spans="1:16" ht="12.75">
      <c r="A152" s="59" t="s">
        <v>100</v>
      </c>
      <c r="B152" s="20"/>
      <c r="C152" s="36">
        <f>SUM(C146:C151)/5</f>
        <v>1089.0120000000002</v>
      </c>
      <c r="D152" s="36"/>
      <c r="E152" s="36">
        <f>SUM(E146:E151)/5</f>
        <v>1089.0120000000002</v>
      </c>
      <c r="F152" s="36">
        <f>SUM(F146:F151)/5</f>
        <v>6308.56219908857</v>
      </c>
      <c r="G152" s="20"/>
      <c r="H152" s="36"/>
      <c r="I152" s="36">
        <f>SUM(I146:I151)/5</f>
        <v>694.5990924484996</v>
      </c>
      <c r="J152" s="36">
        <f>SUM(J146:J151)/5</f>
        <v>0</v>
      </c>
      <c r="K152" s="36">
        <v>694.5990924484996</v>
      </c>
      <c r="L152" s="36">
        <f>SUM(L146:L151)/5</f>
        <v>44897.56374847839</v>
      </c>
      <c r="M152" s="36">
        <f>SUM(M146:M151)/5</f>
        <v>51206.12594756696</v>
      </c>
      <c r="N152" s="36"/>
      <c r="O152" s="4">
        <f>F152/M152</f>
        <v>0.12319936496559587</v>
      </c>
      <c r="P152" s="4">
        <f>L152/M152</f>
        <v>0.8768006350344041</v>
      </c>
    </row>
    <row r="153" spans="1:16" ht="12.75">
      <c r="A153" s="59"/>
      <c r="B153" s="20"/>
      <c r="C153" s="36"/>
      <c r="D153" s="36"/>
      <c r="E153" s="36"/>
      <c r="F153" s="36"/>
      <c r="G153" s="20"/>
      <c r="H153" s="36"/>
      <c r="I153" s="36"/>
      <c r="J153" s="36"/>
      <c r="K153" s="36"/>
      <c r="L153" s="36"/>
      <c r="M153" s="36"/>
      <c r="N153" s="36"/>
      <c r="O153" s="4"/>
      <c r="P153" s="4"/>
    </row>
    <row r="154" spans="1:16" ht="12.75">
      <c r="A154" s="59">
        <v>1516</v>
      </c>
      <c r="B154" s="20"/>
      <c r="C154" s="34">
        <v>31.19</v>
      </c>
      <c r="D154" s="34"/>
      <c r="E154" s="34">
        <v>31.19</v>
      </c>
      <c r="F154" s="34">
        <v>180.681255109744</v>
      </c>
      <c r="G154" s="20"/>
      <c r="H154" s="36">
        <v>2230.375</v>
      </c>
      <c r="I154" s="34">
        <v>828.1332074467813</v>
      </c>
      <c r="J154" s="34"/>
      <c r="K154" s="34">
        <v>828.1332074467813</v>
      </c>
      <c r="L154" s="34">
        <v>53528.95487166289</v>
      </c>
      <c r="M154" s="34">
        <v>53709.63612677264</v>
      </c>
      <c r="N154" s="36"/>
      <c r="O154" s="4">
        <f>F154/M154</f>
        <v>0.003364037966730514</v>
      </c>
      <c r="P154" s="4">
        <f>L154/M154</f>
        <v>0.9966359620332694</v>
      </c>
    </row>
    <row r="155" spans="1:16" ht="12.75">
      <c r="A155" s="59">
        <v>1517</v>
      </c>
      <c r="B155" s="20"/>
      <c r="C155" s="34">
        <v>102.035</v>
      </c>
      <c r="D155" s="34"/>
      <c r="E155" s="34">
        <v>102.035</v>
      </c>
      <c r="F155" s="34">
        <v>591.080854925384</v>
      </c>
      <c r="G155" s="20"/>
      <c r="H155" s="34">
        <v>2071.3175</v>
      </c>
      <c r="I155" s="34">
        <v>769.0755164112081</v>
      </c>
      <c r="J155" s="34"/>
      <c r="K155" s="34">
        <v>769.0755164112081</v>
      </c>
      <c r="L155" s="34">
        <v>49711.578089956</v>
      </c>
      <c r="M155" s="34">
        <v>50302.65894488138</v>
      </c>
      <c r="N155" s="36"/>
      <c r="O155" s="4">
        <f>F155/M155</f>
        <v>0.011750489284732536</v>
      </c>
      <c r="P155" s="4">
        <f>L155/M155</f>
        <v>0.9882495107152675</v>
      </c>
    </row>
    <row r="156" spans="1:16" ht="12.75">
      <c r="A156" s="59">
        <v>1518</v>
      </c>
      <c r="B156" s="20"/>
      <c r="C156" s="34">
        <v>172.88</v>
      </c>
      <c r="D156" s="34"/>
      <c r="E156" s="34">
        <v>172.88</v>
      </c>
      <c r="F156" s="34">
        <v>1001.480454741024</v>
      </c>
      <c r="G156" s="20"/>
      <c r="H156" s="36">
        <v>1912.26</v>
      </c>
      <c r="I156" s="34">
        <v>710.017825375635</v>
      </c>
      <c r="J156" s="34"/>
      <c r="K156" s="34">
        <v>710.017825375635</v>
      </c>
      <c r="L156" s="34">
        <v>45894.201308249096</v>
      </c>
      <c r="M156" s="34">
        <v>46895.68176299012</v>
      </c>
      <c r="N156" s="36"/>
      <c r="O156" s="4">
        <f>F156/M156</f>
        <v>0.021355494090105932</v>
      </c>
      <c r="P156" s="4">
        <f>L156/M156</f>
        <v>0.978644505909894</v>
      </c>
    </row>
    <row r="157" spans="1:16" ht="12.75">
      <c r="A157" s="59">
        <v>1519</v>
      </c>
      <c r="B157" s="20"/>
      <c r="C157" s="34">
        <v>78.41</v>
      </c>
      <c r="D157" s="34"/>
      <c r="E157" s="34">
        <v>78.41</v>
      </c>
      <c r="F157" s="34">
        <v>454.2230590944221</v>
      </c>
      <c r="G157" s="20"/>
      <c r="H157" s="36">
        <v>2288.729</v>
      </c>
      <c r="I157" s="34">
        <v>849.7999160439226</v>
      </c>
      <c r="J157" s="34"/>
      <c r="K157" s="34">
        <v>849.7999160439226</v>
      </c>
      <c r="L157" s="34">
        <v>54929.44969095606</v>
      </c>
      <c r="M157" s="34">
        <v>55383.672750050486</v>
      </c>
      <c r="N157" s="36"/>
      <c r="O157" s="4">
        <f>F157/M157</f>
        <v>0.008201389264022908</v>
      </c>
      <c r="P157" s="4">
        <f>L157/M157</f>
        <v>0.9917986107359771</v>
      </c>
    </row>
    <row r="158" spans="1:16" ht="12.75">
      <c r="A158" s="59">
        <v>1520</v>
      </c>
      <c r="B158" s="20"/>
      <c r="C158" s="34">
        <v>11.21</v>
      </c>
      <c r="D158" s="34"/>
      <c r="E158" s="34">
        <v>11.21</v>
      </c>
      <c r="F158" s="34">
        <v>64.9386620641305</v>
      </c>
      <c r="G158" s="20"/>
      <c r="H158" s="36">
        <v>1511.604</v>
      </c>
      <c r="I158" s="34">
        <v>561.255156155079</v>
      </c>
      <c r="J158" s="34"/>
      <c r="K158" s="34">
        <v>561.255156155079</v>
      </c>
      <c r="L158" s="34">
        <v>36278.46541493028</v>
      </c>
      <c r="M158" s="34">
        <v>36343.40407699441</v>
      </c>
      <c r="N158" s="36"/>
      <c r="O158" s="4">
        <f>F158/M158</f>
        <v>0.0017868073647299607</v>
      </c>
      <c r="P158" s="4">
        <f>L158/M158</f>
        <v>0.9982131926352701</v>
      </c>
    </row>
    <row r="159" spans="1:16" ht="12.75">
      <c r="A159" s="59"/>
      <c r="B159" s="20"/>
      <c r="C159" s="36"/>
      <c r="D159" s="36"/>
      <c r="E159" s="36"/>
      <c r="F159" s="36"/>
      <c r="G159" s="20"/>
      <c r="H159" s="36"/>
      <c r="I159" s="36"/>
      <c r="J159" s="36"/>
      <c r="K159" s="36"/>
      <c r="L159" s="36"/>
      <c r="M159" s="36"/>
      <c r="N159" s="36"/>
      <c r="O159" s="4"/>
      <c r="P159" s="4"/>
    </row>
    <row r="160" spans="1:16" ht="12.75">
      <c r="A160" s="59" t="s">
        <v>101</v>
      </c>
      <c r="B160" s="20"/>
      <c r="C160" s="36">
        <f>SUM(C154:C159)/5</f>
        <v>79.145</v>
      </c>
      <c r="D160" s="36"/>
      <c r="E160" s="36">
        <f>SUM(E154:E159)/5</f>
        <v>79.145</v>
      </c>
      <c r="F160" s="36">
        <f>SUM(F154:F159)/5</f>
        <v>458.4808571869409</v>
      </c>
      <c r="G160" s="20"/>
      <c r="H160" s="36"/>
      <c r="I160" s="36">
        <f>SUM(I154:I159)/5</f>
        <v>743.6563242865252</v>
      </c>
      <c r="J160" s="36">
        <f>SUM(J154:J159)/5</f>
        <v>0</v>
      </c>
      <c r="K160" s="36">
        <f>AVERAGE(K154:K159)</f>
        <v>743.6563242865252</v>
      </c>
      <c r="L160" s="36">
        <f>SUM(L154:L159)/5</f>
        <v>48068.52987515087</v>
      </c>
      <c r="M160" s="36">
        <f>SUM(M154:M159)/5</f>
        <v>48527.01073233781</v>
      </c>
      <c r="N160" s="36"/>
      <c r="O160" s="4">
        <f>F160/M160</f>
        <v>0.00944795177505988</v>
      </c>
      <c r="P160" s="4">
        <f>L160/M160</f>
        <v>0.99055204822494</v>
      </c>
    </row>
    <row r="161" spans="1:16" ht="12.75">
      <c r="A161" s="59"/>
      <c r="B161" s="20"/>
      <c r="C161" s="36"/>
      <c r="D161" s="36"/>
      <c r="E161" s="36"/>
      <c r="F161" s="36"/>
      <c r="G161" s="20"/>
      <c r="H161" s="36"/>
      <c r="I161" s="36"/>
      <c r="J161" s="36"/>
      <c r="K161" s="36"/>
      <c r="L161" s="36"/>
      <c r="M161" s="36"/>
      <c r="N161" s="36"/>
      <c r="O161" s="4"/>
      <c r="P161" s="4"/>
    </row>
    <row r="162" spans="1:16" ht="12.75">
      <c r="A162" s="59">
        <v>1521</v>
      </c>
      <c r="B162" s="20"/>
      <c r="C162" s="34">
        <v>256.46</v>
      </c>
      <c r="D162" s="34"/>
      <c r="E162" s="34">
        <v>256.46</v>
      </c>
      <c r="F162" s="34">
        <v>1485.652923547449</v>
      </c>
      <c r="G162" s="20"/>
      <c r="H162" s="36">
        <v>1128.26</v>
      </c>
      <c r="I162" s="34">
        <v>418.92039349163497</v>
      </c>
      <c r="J162" s="34"/>
      <c r="K162" s="34">
        <v>418.92039349163497</v>
      </c>
      <c r="L162" s="34">
        <v>27078.217171328753</v>
      </c>
      <c r="M162" s="34">
        <v>28563.8700948762</v>
      </c>
      <c r="N162" s="36"/>
      <c r="O162" s="4">
        <f>F162/M162</f>
        <v>0.05201161182335534</v>
      </c>
      <c r="P162" s="4">
        <f>L162/M162</f>
        <v>0.9479883881766447</v>
      </c>
    </row>
    <row r="163" spans="1:16" ht="12.75">
      <c r="A163" s="59">
        <v>1522</v>
      </c>
      <c r="B163" s="20"/>
      <c r="C163" s="34">
        <v>2457.65</v>
      </c>
      <c r="D163" s="34"/>
      <c r="E163" s="34">
        <v>2457.65</v>
      </c>
      <c r="F163" s="34">
        <v>14236.976166093695</v>
      </c>
      <c r="G163" s="20"/>
      <c r="H163" s="36">
        <v>611.958</v>
      </c>
      <c r="I163" s="34">
        <v>227.21862528172048</v>
      </c>
      <c r="J163" s="34"/>
      <c r="K163" s="34">
        <v>227.21862528172048</v>
      </c>
      <c r="L163" s="34">
        <v>14686.979617935584</v>
      </c>
      <c r="M163" s="34">
        <v>28923.955784029276</v>
      </c>
      <c r="N163" s="36"/>
      <c r="O163" s="4">
        <f>F163/M163</f>
        <v>0.49222092138430174</v>
      </c>
      <c r="P163" s="4">
        <f>L163/M163</f>
        <v>0.5077790786156983</v>
      </c>
    </row>
    <row r="164" spans="1:16" ht="12.75">
      <c r="A164" s="59">
        <v>1523</v>
      </c>
      <c r="B164" s="20"/>
      <c r="C164" s="34">
        <v>3031.38</v>
      </c>
      <c r="D164" s="34"/>
      <c r="E164" s="34">
        <v>3031.38</v>
      </c>
      <c r="F164" s="34">
        <v>17560.54963496556</v>
      </c>
      <c r="G164" s="20"/>
      <c r="H164" s="36">
        <v>380.854</v>
      </c>
      <c r="I164" s="34">
        <v>141.4102312790165</v>
      </c>
      <c r="J164" s="34"/>
      <c r="K164" s="34">
        <v>141.4102312790165</v>
      </c>
      <c r="L164" s="34">
        <v>9140.488293982984</v>
      </c>
      <c r="M164" s="34">
        <v>26701.037928948543</v>
      </c>
      <c r="N164" s="36"/>
      <c r="O164" s="4">
        <f>F164/M164</f>
        <v>0.6576729219925525</v>
      </c>
      <c r="P164" s="4">
        <f>L164/M164</f>
        <v>0.34232707800744755</v>
      </c>
    </row>
    <row r="165" spans="1:16" ht="12.75">
      <c r="A165" s="59">
        <v>1524</v>
      </c>
      <c r="B165" s="20"/>
      <c r="C165" s="34">
        <v>4342.307500000001</v>
      </c>
      <c r="D165" s="34"/>
      <c r="E165" s="34">
        <v>4342.307500000001</v>
      </c>
      <c r="F165" s="34">
        <v>25154.651143714484</v>
      </c>
      <c r="G165" s="20"/>
      <c r="H165" s="36"/>
      <c r="I165" s="34">
        <v>521.5123699134663</v>
      </c>
      <c r="J165" s="34"/>
      <c r="K165" s="34">
        <v>521.5123699134663</v>
      </c>
      <c r="L165" s="34">
        <v>33709.567329366975</v>
      </c>
      <c r="M165" s="34">
        <v>58864.21847308146</v>
      </c>
      <c r="N165" s="36"/>
      <c r="O165" s="4">
        <f>F165/M165</f>
        <v>0.42733347687640966</v>
      </c>
      <c r="P165" s="4">
        <f>L165/M165</f>
        <v>0.5726665231235902</v>
      </c>
    </row>
    <row r="166" spans="1:16" ht="12.75">
      <c r="A166" s="59">
        <v>1525</v>
      </c>
      <c r="B166" s="20"/>
      <c r="C166" s="34">
        <v>5653.235000000001</v>
      </c>
      <c r="D166" s="34"/>
      <c r="E166" s="34">
        <v>5653.235000000001</v>
      </c>
      <c r="F166" s="34">
        <v>32748.752652463405</v>
      </c>
      <c r="G166" s="20"/>
      <c r="H166" s="36"/>
      <c r="I166" s="34">
        <v>901.6145085479161</v>
      </c>
      <c r="J166" s="34"/>
      <c r="K166" s="34">
        <v>901.6145085479161</v>
      </c>
      <c r="L166" s="34">
        <v>58278.64636475097</v>
      </c>
      <c r="M166" s="34">
        <v>91027.39901721438</v>
      </c>
      <c r="N166" s="36"/>
      <c r="O166" s="4">
        <f>F166/M166</f>
        <v>0.3597680808859563</v>
      </c>
      <c r="P166" s="4">
        <f>L166/M166</f>
        <v>0.6402319191140436</v>
      </c>
    </row>
    <row r="167" spans="1:16" ht="12.75">
      <c r="A167" s="59"/>
      <c r="B167" s="20"/>
      <c r="C167" s="36"/>
      <c r="D167" s="36"/>
      <c r="E167" s="36"/>
      <c r="F167" s="36"/>
      <c r="G167" s="20"/>
      <c r="H167" s="36"/>
      <c r="I167" s="36"/>
      <c r="J167" s="36"/>
      <c r="K167" s="36"/>
      <c r="L167" s="36"/>
      <c r="M167" s="36"/>
      <c r="N167" s="36"/>
      <c r="O167" s="4"/>
      <c r="P167" s="4"/>
    </row>
    <row r="168" spans="1:16" ht="12.75">
      <c r="A168" s="59" t="s">
        <v>103</v>
      </c>
      <c r="B168" s="20"/>
      <c r="C168" s="36">
        <f>SUM(C162:C167)/5</f>
        <v>3148.2065000000002</v>
      </c>
      <c r="D168" s="36"/>
      <c r="E168" s="36">
        <f>SUM(E162:E167)/5</f>
        <v>3148.2065000000002</v>
      </c>
      <c r="F168" s="36">
        <f>SUM(F162:F167)/5</f>
        <v>18237.31650415692</v>
      </c>
      <c r="G168" s="20"/>
      <c r="H168" s="36"/>
      <c r="I168" s="36">
        <f>SUM(I162:I167)/5</f>
        <v>442.1352257027509</v>
      </c>
      <c r="J168" s="36">
        <f>SUM(J162:J167)/5</f>
        <v>0</v>
      </c>
      <c r="K168" s="36">
        <v>442.1358500104744</v>
      </c>
      <c r="L168" s="36">
        <f>SUM(L162:L167)/5</f>
        <v>28578.779755473057</v>
      </c>
      <c r="M168" s="36">
        <f>SUM(M162:M167)/5</f>
        <v>46816.09625962997</v>
      </c>
      <c r="N168" s="36"/>
      <c r="O168" s="4">
        <f>F168/M168</f>
        <v>0.38955226858338365</v>
      </c>
      <c r="P168" s="4">
        <f>L168/M168</f>
        <v>0.6104477314166163</v>
      </c>
    </row>
    <row r="169" spans="1:16" ht="12.75">
      <c r="A169" s="59"/>
      <c r="B169" s="20"/>
      <c r="C169" s="36"/>
      <c r="D169" s="36"/>
      <c r="E169" s="36"/>
      <c r="F169" s="36"/>
      <c r="G169" s="20"/>
      <c r="H169" s="36"/>
      <c r="I169" s="36"/>
      <c r="J169" s="36"/>
      <c r="K169" s="36"/>
      <c r="L169" s="36"/>
      <c r="M169" s="36"/>
      <c r="N169" s="36"/>
      <c r="O169" s="4"/>
      <c r="P169" s="4"/>
    </row>
    <row r="170" spans="1:16" ht="12.75">
      <c r="A170" s="59">
        <v>1526</v>
      </c>
      <c r="B170" s="20"/>
      <c r="C170" s="34">
        <v>6964.1625</v>
      </c>
      <c r="D170" s="34"/>
      <c r="E170" s="34">
        <v>6964.1625</v>
      </c>
      <c r="F170" s="34">
        <v>45385.5</v>
      </c>
      <c r="G170" s="20"/>
      <c r="H170" s="36"/>
      <c r="I170" s="34">
        <v>1281.716647182366</v>
      </c>
      <c r="J170" s="34"/>
      <c r="K170" s="34">
        <v>1281.716647182366</v>
      </c>
      <c r="L170" s="34">
        <v>94123.33</v>
      </c>
      <c r="M170" s="34">
        <v>139508.83000000002</v>
      </c>
      <c r="N170" s="36"/>
      <c r="O170" s="4">
        <f>F170/M170</f>
        <v>0.3253234938605678</v>
      </c>
      <c r="P170" s="4">
        <f>L170/M170</f>
        <v>0.6746765061394321</v>
      </c>
    </row>
    <row r="171" spans="1:16" ht="12.75">
      <c r="A171" s="59">
        <v>1527</v>
      </c>
      <c r="B171" s="20"/>
      <c r="C171" s="34">
        <v>8275.09</v>
      </c>
      <c r="D171" s="34"/>
      <c r="E171" s="34">
        <v>8275.09</v>
      </c>
      <c r="F171" s="34">
        <v>53929.07898172583</v>
      </c>
      <c r="G171" s="20"/>
      <c r="H171" s="36">
        <v>4857.156</v>
      </c>
      <c r="I171" s="34">
        <v>1661.8187858168158</v>
      </c>
      <c r="J171" s="34"/>
      <c r="K171" s="34">
        <v>1661.8187858168158</v>
      </c>
      <c r="L171" s="34">
        <v>122035.95033487165</v>
      </c>
      <c r="M171" s="34">
        <v>175965.02931659747</v>
      </c>
      <c r="N171" s="36"/>
      <c r="O171" s="4">
        <f>F171/M171</f>
        <v>0.3064761173920317</v>
      </c>
      <c r="P171" s="4">
        <f>L171/M171</f>
        <v>0.6935238826079684</v>
      </c>
    </row>
    <row r="172" spans="1:16" ht="12.75">
      <c r="A172" s="59">
        <v>1528</v>
      </c>
      <c r="B172" s="20"/>
      <c r="C172" s="34">
        <v>11056.15</v>
      </c>
      <c r="D172" s="34"/>
      <c r="E172" s="34">
        <v>11056.15</v>
      </c>
      <c r="F172" s="34">
        <v>72053.35368966476</v>
      </c>
      <c r="G172" s="20"/>
      <c r="H172" s="36">
        <v>1231.063</v>
      </c>
      <c r="I172" s="34">
        <v>421.19372322486805</v>
      </c>
      <c r="J172" s="34"/>
      <c r="K172" s="34">
        <v>421.19372322486805</v>
      </c>
      <c r="L172" s="34">
        <v>30930.4340085223</v>
      </c>
      <c r="M172" s="34">
        <v>102983.78769818705</v>
      </c>
      <c r="N172" s="36"/>
      <c r="O172" s="4">
        <f>F172/M172</f>
        <v>0.6996572499433636</v>
      </c>
      <c r="P172" s="4">
        <f>L172/M172</f>
        <v>0.3003427500566364</v>
      </c>
    </row>
    <row r="173" spans="1:16" ht="12.75">
      <c r="A173" s="59">
        <v>1529</v>
      </c>
      <c r="B173" s="20"/>
      <c r="C173" s="34">
        <v>11056.15</v>
      </c>
      <c r="D173" s="34"/>
      <c r="E173" s="34">
        <v>11056.15</v>
      </c>
      <c r="F173" s="34">
        <v>72053.35368966476</v>
      </c>
      <c r="G173" s="20"/>
      <c r="H173" s="36">
        <v>533.167</v>
      </c>
      <c r="I173" s="34">
        <v>182.41681687341202</v>
      </c>
      <c r="J173" s="34"/>
      <c r="K173" s="34">
        <v>182.41681687341202</v>
      </c>
      <c r="L173" s="34">
        <v>13395.8105385523</v>
      </c>
      <c r="M173" s="34">
        <v>85449.16422821705</v>
      </c>
      <c r="N173" s="36"/>
      <c r="O173" s="4">
        <f>F173/M173</f>
        <v>0.8432306429261864</v>
      </c>
      <c r="P173" s="4">
        <f>L173/M173</f>
        <v>0.15676935707381362</v>
      </c>
    </row>
    <row r="174" spans="1:16" ht="12.75">
      <c r="A174" s="59">
        <v>1530</v>
      </c>
      <c r="B174" s="20"/>
      <c r="C174" s="34">
        <v>8871.95</v>
      </c>
      <c r="D174" s="34"/>
      <c r="E174" s="34">
        <v>8871.95</v>
      </c>
      <c r="F174" s="34">
        <v>57818.83849866557</v>
      </c>
      <c r="G174" s="20"/>
      <c r="H174" s="36">
        <v>394.458</v>
      </c>
      <c r="I174" s="34">
        <v>134.959164296088</v>
      </c>
      <c r="J174" s="34"/>
      <c r="K174" s="34">
        <v>134.959164296088</v>
      </c>
      <c r="L174" s="34">
        <v>9910.74960268783</v>
      </c>
      <c r="M174" s="34">
        <v>67729.58810135341</v>
      </c>
      <c r="N174" s="36"/>
      <c r="O174" s="4">
        <f>F174/M174</f>
        <v>0.8536717868731614</v>
      </c>
      <c r="P174" s="4">
        <f>L174/M174</f>
        <v>0.14632821312683855</v>
      </c>
    </row>
    <row r="175" spans="1:16" ht="12.75">
      <c r="A175" s="59"/>
      <c r="B175" s="20"/>
      <c r="C175" s="36"/>
      <c r="D175" s="36"/>
      <c r="E175" s="36"/>
      <c r="F175" s="36"/>
      <c r="G175" s="20"/>
      <c r="H175" s="36"/>
      <c r="I175" s="36"/>
      <c r="J175" s="36"/>
      <c r="K175" s="36"/>
      <c r="L175" s="36"/>
      <c r="M175" s="36"/>
      <c r="N175" s="36"/>
      <c r="O175" s="4"/>
      <c r="P175" s="4"/>
    </row>
    <row r="176" spans="1:16" ht="12.75">
      <c r="A176" s="59" t="s">
        <v>107</v>
      </c>
      <c r="B176" s="20"/>
      <c r="C176" s="36">
        <f>SUM(C170:C175)/5</f>
        <v>9244.7005</v>
      </c>
      <c r="D176" s="36"/>
      <c r="E176" s="36">
        <f>SUM(E170:E175)/5</f>
        <v>9244.7005</v>
      </c>
      <c r="F176" s="36">
        <f>SUM(F170:F175)/5</f>
        <v>60248.024971944185</v>
      </c>
      <c r="G176" s="20"/>
      <c r="H176" s="36"/>
      <c r="I176" s="36">
        <f>SUM(I170:I175)/5</f>
        <v>736.4210274787099</v>
      </c>
      <c r="J176" s="36">
        <f>SUM(J170:J175)/5</f>
        <v>0</v>
      </c>
      <c r="K176" s="36">
        <v>736.4216980422368</v>
      </c>
      <c r="L176" s="36">
        <f>SUM(L170:L175)/5</f>
        <v>54079.254896926825</v>
      </c>
      <c r="M176" s="36">
        <f>SUM(M170:M175)/5</f>
        <v>114327.279868871</v>
      </c>
      <c r="N176" s="36"/>
      <c r="O176" s="4">
        <f>F176/M176</f>
        <v>0.5269785570079718</v>
      </c>
      <c r="P176" s="4">
        <f>L176/M176</f>
        <v>0.47302144299202825</v>
      </c>
    </row>
    <row r="177" spans="1:16" ht="12.75">
      <c r="A177" s="59"/>
      <c r="B177" s="20"/>
      <c r="C177" s="36"/>
      <c r="D177" s="36"/>
      <c r="E177" s="36"/>
      <c r="F177" s="36"/>
      <c r="G177" s="20"/>
      <c r="H177" s="36"/>
      <c r="I177" s="36"/>
      <c r="J177" s="36"/>
      <c r="K177" s="36"/>
      <c r="L177" s="36"/>
      <c r="M177" s="36"/>
      <c r="N177" s="36"/>
      <c r="O177" s="4"/>
      <c r="P177" s="4"/>
    </row>
    <row r="178" spans="1:16" ht="12.75">
      <c r="A178" s="59">
        <v>1531</v>
      </c>
      <c r="B178" s="20"/>
      <c r="C178" s="34">
        <v>5016.43</v>
      </c>
      <c r="D178" s="34"/>
      <c r="E178" s="34">
        <v>5016.43</v>
      </c>
      <c r="F178" s="34">
        <v>32692.266751938518</v>
      </c>
      <c r="G178" s="20"/>
      <c r="H178" s="36">
        <v>320.25</v>
      </c>
      <c r="I178" s="34">
        <v>109.569770079</v>
      </c>
      <c r="J178" s="34"/>
      <c r="K178" s="34">
        <v>109.569770079</v>
      </c>
      <c r="L178" s="34">
        <v>8046.275041349846</v>
      </c>
      <c r="M178" s="34">
        <v>40738.541793288365</v>
      </c>
      <c r="N178" s="36"/>
      <c r="O178" s="4">
        <f>F178/M178</f>
        <v>0.8024898612675562</v>
      </c>
      <c r="P178" s="4">
        <f>L178/M178</f>
        <v>0.19751013873244383</v>
      </c>
    </row>
    <row r="179" spans="1:16" ht="12.75">
      <c r="A179" s="59">
        <v>1532</v>
      </c>
      <c r="B179" s="20"/>
      <c r="C179" s="34">
        <v>5016.43</v>
      </c>
      <c r="D179" s="34"/>
      <c r="E179" s="34">
        <v>5016.43</v>
      </c>
      <c r="F179" s="34">
        <v>32692.266751938518</v>
      </c>
      <c r="G179" s="20"/>
      <c r="H179" s="36"/>
      <c r="I179" s="34">
        <v>166.42</v>
      </c>
      <c r="J179" s="34"/>
      <c r="K179" s="34">
        <v>166.42</v>
      </c>
      <c r="L179" s="34">
        <v>12221.08152107991</v>
      </c>
      <c r="M179" s="34">
        <v>44913.348273018426</v>
      </c>
      <c r="N179" s="36"/>
      <c r="O179" s="4">
        <f>F179/M179</f>
        <v>0.7278964496970783</v>
      </c>
      <c r="P179" s="4">
        <f>L179/M179</f>
        <v>0.27210355030292166</v>
      </c>
    </row>
    <row r="180" spans="1:16" ht="12.75">
      <c r="A180" s="59">
        <v>1533</v>
      </c>
      <c r="B180" s="20"/>
      <c r="C180" s="34">
        <v>4566.78</v>
      </c>
      <c r="D180" s="34"/>
      <c r="E180" s="34">
        <v>4566.78</v>
      </c>
      <c r="F180" s="34">
        <v>29761.88045231724</v>
      </c>
      <c r="G180" s="20"/>
      <c r="H180" s="36">
        <v>652.571</v>
      </c>
      <c r="I180" s="34">
        <v>223.269490804756</v>
      </c>
      <c r="J180" s="34"/>
      <c r="K180" s="34">
        <v>223.269490804756</v>
      </c>
      <c r="L180" s="34">
        <v>16395.833723680596</v>
      </c>
      <c r="M180" s="34">
        <v>46157.71417599784</v>
      </c>
      <c r="N180" s="36"/>
      <c r="O180" s="4">
        <f>F180/M180</f>
        <v>0.6447867053995823</v>
      </c>
      <c r="P180" s="4">
        <f>L180/M180</f>
        <v>0.3552132946004177</v>
      </c>
    </row>
    <row r="181" spans="1:16" ht="12.75">
      <c r="A181" s="59">
        <v>1534</v>
      </c>
      <c r="B181" s="20"/>
      <c r="C181" s="34">
        <v>4242.26</v>
      </c>
      <c r="D181" s="34"/>
      <c r="E181" s="34">
        <v>4242.26</v>
      </c>
      <c r="F181" s="34">
        <v>27646.971162974205</v>
      </c>
      <c r="G181" s="20"/>
      <c r="H181" s="36">
        <v>652.571</v>
      </c>
      <c r="I181" s="34">
        <v>223.269490804756</v>
      </c>
      <c r="J181" s="34"/>
      <c r="K181" s="34">
        <v>223.269490804756</v>
      </c>
      <c r="L181" s="34">
        <v>16395.833723680596</v>
      </c>
      <c r="M181" s="34">
        <v>44042.804886654805</v>
      </c>
      <c r="N181" s="36"/>
      <c r="O181" s="4">
        <f>F181/M181</f>
        <v>0.6277295743112714</v>
      </c>
      <c r="P181" s="4">
        <f>L181/M181</f>
        <v>0.37227042568872853</v>
      </c>
    </row>
    <row r="182" spans="1:16" ht="12.75">
      <c r="A182" s="59">
        <v>1535</v>
      </c>
      <c r="B182" s="20"/>
      <c r="C182" s="34">
        <v>4242.26</v>
      </c>
      <c r="D182" s="34"/>
      <c r="E182" s="34">
        <v>4242.26</v>
      </c>
      <c r="F182" s="34">
        <v>27646.971162974205</v>
      </c>
      <c r="G182" s="20"/>
      <c r="H182" s="36">
        <v>652.571</v>
      </c>
      <c r="I182" s="34">
        <v>223.269490804756</v>
      </c>
      <c r="J182" s="34"/>
      <c r="K182" s="34">
        <v>223.269490804756</v>
      </c>
      <c r="L182" s="34">
        <v>16395.833723680596</v>
      </c>
      <c r="M182" s="34">
        <v>44042.804886654805</v>
      </c>
      <c r="N182" s="36"/>
      <c r="O182" s="4">
        <f>F182/M182</f>
        <v>0.6277295743112714</v>
      </c>
      <c r="P182" s="4">
        <f>L182/M182</f>
        <v>0.37227042568872853</v>
      </c>
    </row>
    <row r="183" spans="1:16" ht="12.75">
      <c r="A183" s="59"/>
      <c r="B183" s="20"/>
      <c r="C183" s="36"/>
      <c r="D183" s="36"/>
      <c r="E183" s="36"/>
      <c r="F183" s="36"/>
      <c r="G183" s="20"/>
      <c r="H183" s="36"/>
      <c r="I183" s="36"/>
      <c r="J183" s="36"/>
      <c r="K183" s="36"/>
      <c r="L183" s="36"/>
      <c r="M183" s="36"/>
      <c r="N183" s="36"/>
      <c r="O183" s="4"/>
      <c r="P183" s="4"/>
    </row>
    <row r="184" spans="1:16" ht="12.75">
      <c r="A184" s="59" t="s">
        <v>110</v>
      </c>
      <c r="B184" s="20"/>
      <c r="C184" s="36">
        <f>SUM(C178:C183)/5</f>
        <v>4616.832</v>
      </c>
      <c r="D184" s="36"/>
      <c r="E184" s="36">
        <f>SUM(E178:E183)/5</f>
        <v>4616.832</v>
      </c>
      <c r="F184" s="36">
        <f>SUM(F178:F183)/5</f>
        <v>30088.07125642854</v>
      </c>
      <c r="G184" s="20"/>
      <c r="H184" s="36"/>
      <c r="I184" s="36">
        <f>SUM(I178:I183)/5</f>
        <v>189.15964849865358</v>
      </c>
      <c r="J184" s="36">
        <f>SUM(J178:J183)/5</f>
        <v>0</v>
      </c>
      <c r="K184" s="36">
        <v>189.15964849865358</v>
      </c>
      <c r="L184" s="36">
        <f>SUM(L178:L183)/5</f>
        <v>13890.97154669431</v>
      </c>
      <c r="M184" s="36">
        <f>SUM(M178:M183)/5</f>
        <v>43979.04280312285</v>
      </c>
      <c r="N184" s="36"/>
      <c r="O184" s="4">
        <f>F184/M184</f>
        <v>0.6841456598116786</v>
      </c>
      <c r="P184" s="4">
        <f>L184/M184</f>
        <v>0.31585434018832137</v>
      </c>
    </row>
    <row r="185" spans="1:16" ht="12.75">
      <c r="A185" s="59"/>
      <c r="B185" s="20"/>
      <c r="C185" s="36"/>
      <c r="D185" s="36"/>
      <c r="E185" s="36"/>
      <c r="F185" s="36"/>
      <c r="G185" s="20"/>
      <c r="H185" s="36"/>
      <c r="I185" s="36"/>
      <c r="J185" s="36"/>
      <c r="K185" s="36"/>
      <c r="L185" s="36"/>
      <c r="M185" s="36"/>
      <c r="N185" s="36"/>
      <c r="O185" s="4"/>
      <c r="P185" s="4"/>
    </row>
    <row r="186" spans="1:16" ht="12.75">
      <c r="A186" s="59">
        <v>1536</v>
      </c>
      <c r="B186" s="20"/>
      <c r="C186" s="34">
        <v>5383.3</v>
      </c>
      <c r="D186" s="34"/>
      <c r="E186" s="34">
        <v>5383.3</v>
      </c>
      <c r="F186" s="34">
        <v>35083.17261592619</v>
      </c>
      <c r="G186" s="20"/>
      <c r="H186" s="36">
        <v>1178.38</v>
      </c>
      <c r="I186" s="34">
        <v>413.274</v>
      </c>
      <c r="J186" s="34"/>
      <c r="K186" s="34">
        <v>413.274</v>
      </c>
      <c r="L186" s="34">
        <v>30256.603125</v>
      </c>
      <c r="M186" s="34">
        <v>65339.77574092619</v>
      </c>
      <c r="N186" s="36"/>
      <c r="O186" s="4">
        <f>F186/M186</f>
        <v>0.5369343897816825</v>
      </c>
      <c r="P186" s="4">
        <f>L186/M186</f>
        <v>0.46306561021831744</v>
      </c>
    </row>
    <row r="187" spans="1:16" ht="12.75">
      <c r="A187" s="59">
        <v>1537</v>
      </c>
      <c r="B187" s="20"/>
      <c r="C187" s="34">
        <v>6524.34</v>
      </c>
      <c r="D187" s="34"/>
      <c r="E187" s="34">
        <v>6524.34</v>
      </c>
      <c r="F187" s="34">
        <v>42519.374068878176</v>
      </c>
      <c r="G187" s="20"/>
      <c r="H187" s="36">
        <v>1442.521</v>
      </c>
      <c r="I187" s="34">
        <v>506.122</v>
      </c>
      <c r="J187" s="34"/>
      <c r="K187" s="34">
        <v>506.122</v>
      </c>
      <c r="L187" s="34">
        <v>37052.323875</v>
      </c>
      <c r="M187" s="34">
        <v>79571.69794387819</v>
      </c>
      <c r="N187" s="36"/>
      <c r="O187" s="4">
        <f>F187/M187</f>
        <v>0.5343529818713563</v>
      </c>
      <c r="P187" s="4">
        <f>L187/M187</f>
        <v>0.4656470181286437</v>
      </c>
    </row>
    <row r="188" spans="1:16" ht="12.75">
      <c r="A188" s="59">
        <v>1538</v>
      </c>
      <c r="B188" s="20"/>
      <c r="C188" s="34">
        <v>4498.05</v>
      </c>
      <c r="D188" s="34"/>
      <c r="E188" s="34">
        <v>4498.05</v>
      </c>
      <c r="F188" s="34">
        <v>29313.964405674364</v>
      </c>
      <c r="G188" s="20"/>
      <c r="H188" s="36">
        <v>1166.243</v>
      </c>
      <c r="I188" s="34">
        <v>399.01632276734796</v>
      </c>
      <c r="J188" s="34"/>
      <c r="K188" s="34">
        <v>399.01632276734796</v>
      </c>
      <c r="L188" s="34">
        <v>29301.83276518023</v>
      </c>
      <c r="M188" s="34">
        <v>58615.797170854596</v>
      </c>
      <c r="N188" s="36"/>
      <c r="O188" s="4">
        <f>F188/M188</f>
        <v>0.5001034843939661</v>
      </c>
      <c r="P188" s="4">
        <f>L188/M188</f>
        <v>0.4998965156060338</v>
      </c>
    </row>
    <row r="189" spans="1:16" ht="12.75">
      <c r="A189" s="59">
        <v>1539</v>
      </c>
      <c r="B189" s="20"/>
      <c r="C189" s="34">
        <v>6007.39</v>
      </c>
      <c r="D189" s="34"/>
      <c r="E189" s="34">
        <v>6007.39</v>
      </c>
      <c r="F189" s="34">
        <v>39150.391087472155</v>
      </c>
      <c r="G189" s="20"/>
      <c r="H189" s="36">
        <v>1166.243</v>
      </c>
      <c r="I189" s="34">
        <v>399.01632276734796</v>
      </c>
      <c r="J189" s="34"/>
      <c r="K189" s="34">
        <v>399.01632276734796</v>
      </c>
      <c r="L189" s="34">
        <v>29301.83276518023</v>
      </c>
      <c r="M189" s="34">
        <v>68452.22385265239</v>
      </c>
      <c r="N189" s="36"/>
      <c r="O189" s="4">
        <f>F189/M189</f>
        <v>0.5719374606695872</v>
      </c>
      <c r="P189" s="4">
        <f>L189/M189</f>
        <v>0.4280625393304127</v>
      </c>
    </row>
    <row r="190" spans="1:16" ht="12.75">
      <c r="A190" s="59">
        <v>1540</v>
      </c>
      <c r="B190" s="20"/>
      <c r="C190" s="34">
        <v>6007.39</v>
      </c>
      <c r="D190" s="34"/>
      <c r="E190" s="34">
        <v>6007.39</v>
      </c>
      <c r="F190" s="34">
        <v>39150.391087472155</v>
      </c>
      <c r="G190" s="20"/>
      <c r="H190" s="36">
        <v>924.087</v>
      </c>
      <c r="I190" s="34">
        <v>316.165496090532</v>
      </c>
      <c r="J190" s="34"/>
      <c r="K190" s="34">
        <v>316.165496090532</v>
      </c>
      <c r="L190" s="34">
        <v>23217.667959830927</v>
      </c>
      <c r="M190" s="34">
        <v>62368.05904730308</v>
      </c>
      <c r="N190" s="36"/>
      <c r="O190" s="4">
        <f>F190/M190</f>
        <v>0.6277314331327599</v>
      </c>
      <c r="P190" s="4">
        <f>L190/M190</f>
        <v>0.37226856686724014</v>
      </c>
    </row>
    <row r="191" spans="1:16" ht="12.75">
      <c r="A191" s="59"/>
      <c r="B191" s="20"/>
      <c r="C191" s="36"/>
      <c r="D191" s="36"/>
      <c r="E191" s="36"/>
      <c r="F191" s="36"/>
      <c r="G191" s="20"/>
      <c r="H191" s="20"/>
      <c r="I191" s="36"/>
      <c r="J191" s="36"/>
      <c r="K191" s="36"/>
      <c r="L191" s="36"/>
      <c r="M191" s="36"/>
      <c r="N191" s="36"/>
      <c r="O191" s="4"/>
      <c r="P191" s="4"/>
    </row>
    <row r="192" spans="1:16" ht="12.75">
      <c r="A192" s="59" t="s">
        <v>112</v>
      </c>
      <c r="B192" s="20"/>
      <c r="C192" s="36">
        <f>SUM(C186:C191)/5</f>
        <v>5684.093999999999</v>
      </c>
      <c r="D192" s="36"/>
      <c r="E192" s="36">
        <f>SUM(E186:E191)/5</f>
        <v>5684.093999999999</v>
      </c>
      <c r="F192" s="36">
        <f>SUM(F186:F191)/5</f>
        <v>37043.458653084606</v>
      </c>
      <c r="G192" s="20"/>
      <c r="H192" s="20"/>
      <c r="I192" s="36">
        <f>SUM(I186:I191)/5</f>
        <v>406.71882832504554</v>
      </c>
      <c r="J192" s="36">
        <f>SUM(J186:J191)/5</f>
        <v>0</v>
      </c>
      <c r="K192" s="36">
        <v>406.71882832504554</v>
      </c>
      <c r="L192" s="36">
        <f>SUM(L186:L191)/5</f>
        <v>29826.052098038275</v>
      </c>
      <c r="M192" s="36">
        <f>SUM(M186:M191)/5</f>
        <v>66869.5107511229</v>
      </c>
      <c r="N192" s="36"/>
      <c r="O192" s="4">
        <f>F192/M192</f>
        <v>0.5539663478465416</v>
      </c>
      <c r="P192" s="4">
        <f>L192/M192</f>
        <v>0.4460336521534581</v>
      </c>
    </row>
    <row r="193" spans="1:16" ht="12.75">
      <c r="A193" s="59"/>
      <c r="B193" s="20"/>
      <c r="C193" s="36"/>
      <c r="D193" s="36"/>
      <c r="E193" s="36"/>
      <c r="F193" s="36"/>
      <c r="G193" s="20"/>
      <c r="H193" s="20"/>
      <c r="I193" s="36"/>
      <c r="J193" s="36"/>
      <c r="K193" s="36"/>
      <c r="L193" s="36"/>
      <c r="M193" s="36"/>
      <c r="N193" s="36"/>
      <c r="O193" s="4"/>
      <c r="P193" s="4"/>
    </row>
    <row r="194" spans="1:16" ht="12.75">
      <c r="A194" s="59">
        <v>1541</v>
      </c>
      <c r="B194" s="20"/>
      <c r="C194" s="34">
        <v>6007.39</v>
      </c>
      <c r="D194" s="34"/>
      <c r="E194" s="34">
        <v>6007.39</v>
      </c>
      <c r="F194" s="34">
        <v>39150.391087472155</v>
      </c>
      <c r="G194" s="20"/>
      <c r="H194">
        <v>461.41600000000005</v>
      </c>
      <c r="I194" s="34">
        <v>158.70802246993193</v>
      </c>
      <c r="J194" s="39"/>
      <c r="K194" s="36">
        <v>158.70802246993193</v>
      </c>
      <c r="L194" s="34">
        <v>11647.138875</v>
      </c>
      <c r="M194" s="34">
        <v>50797.52996247215</v>
      </c>
      <c r="N194" s="36"/>
      <c r="O194" s="4">
        <f>F194/M194</f>
        <v>0.7707144641953144</v>
      </c>
      <c r="P194" s="4">
        <f>L194/M194</f>
        <v>0.22928553580468564</v>
      </c>
    </row>
    <row r="195" spans="1:16" ht="12.75">
      <c r="A195" s="59">
        <v>1542</v>
      </c>
      <c r="B195" s="20"/>
      <c r="C195" s="34">
        <v>5766.23</v>
      </c>
      <c r="D195" s="34"/>
      <c r="E195" s="34">
        <v>5766.23</v>
      </c>
      <c r="F195" s="34">
        <v>39320.26</v>
      </c>
      <c r="G195" s="20"/>
      <c r="H195">
        <v>431.09799999999996</v>
      </c>
      <c r="I195" s="34">
        <v>148.69346398645598</v>
      </c>
      <c r="J195" s="39"/>
      <c r="K195" s="36">
        <v>148.69346398645598</v>
      </c>
      <c r="L195" s="34">
        <v>11114.518049999999</v>
      </c>
      <c r="M195" s="34">
        <v>50434.77805</v>
      </c>
      <c r="N195" s="36"/>
      <c r="O195" s="4">
        <f>F195/M195</f>
        <v>0.7796259152963597</v>
      </c>
      <c r="P195" s="4">
        <f>L195/M195</f>
        <v>0.2203740847036403</v>
      </c>
    </row>
    <row r="196" spans="1:16" ht="12.75">
      <c r="A196" s="59">
        <v>1543</v>
      </c>
      <c r="B196" s="20"/>
      <c r="C196" s="34">
        <v>4449.94</v>
      </c>
      <c r="D196" s="34"/>
      <c r="E196" s="34">
        <v>4449.94</v>
      </c>
      <c r="F196" s="34">
        <v>35985.97</v>
      </c>
      <c r="G196" s="20"/>
      <c r="H196">
        <v>584.566</v>
      </c>
      <c r="I196" s="34">
        <v>204.808893522284</v>
      </c>
      <c r="J196" s="39"/>
      <c r="K196" s="36">
        <v>204.808893522284</v>
      </c>
      <c r="L196" s="34">
        <v>15823.0383</v>
      </c>
      <c r="M196" s="34">
        <v>51809.0083</v>
      </c>
      <c r="N196" s="36"/>
      <c r="O196" s="4">
        <f>F196/M196</f>
        <v>0.6945890527690336</v>
      </c>
      <c r="P196" s="4">
        <f>L196/M196</f>
        <v>0.3054109472309664</v>
      </c>
    </row>
    <row r="197" spans="1:16" ht="12.75">
      <c r="A197" s="59">
        <v>1544</v>
      </c>
      <c r="B197" s="20"/>
      <c r="C197" s="34">
        <v>9556.6</v>
      </c>
      <c r="D197" s="34"/>
      <c r="E197" s="34">
        <v>9556.6</v>
      </c>
      <c r="F197" s="34">
        <v>80055.05</v>
      </c>
      <c r="G197" s="20"/>
      <c r="H197" s="34">
        <v>2661.857</v>
      </c>
      <c r="I197" s="34">
        <v>949.7208145020554</v>
      </c>
      <c r="J197" s="39"/>
      <c r="K197" s="36">
        <v>949.7208145020554</v>
      </c>
      <c r="L197" s="34">
        <v>75936.85035000001</v>
      </c>
      <c r="M197" s="34">
        <v>155991.90035</v>
      </c>
      <c r="N197" s="36"/>
      <c r="O197" s="4">
        <f>F197/M197</f>
        <v>0.5132000432098076</v>
      </c>
      <c r="P197" s="4">
        <f>L197/M197</f>
        <v>0.48679995679019245</v>
      </c>
    </row>
    <row r="198" spans="1:16" ht="12.75">
      <c r="A198" s="59">
        <v>1545</v>
      </c>
      <c r="B198" s="20"/>
      <c r="C198" s="34">
        <v>2755</v>
      </c>
      <c r="D198" s="34"/>
      <c r="E198" s="34">
        <v>2755</v>
      </c>
      <c r="F198" s="34">
        <v>309369.95</v>
      </c>
      <c r="G198" s="20"/>
      <c r="H198" s="34">
        <v>9654.264000000001</v>
      </c>
      <c r="I198" s="34">
        <v>3357.0304967433026</v>
      </c>
      <c r="J198" s="39"/>
      <c r="K198" s="36">
        <v>3357.0304967433026</v>
      </c>
      <c r="L198" s="34">
        <v>285465.9948</v>
      </c>
      <c r="M198" s="34">
        <v>594835.9447999999</v>
      </c>
      <c r="N198" s="36"/>
      <c r="O198" s="4">
        <f>F198/M198</f>
        <v>0.5200928973853768</v>
      </c>
      <c r="P198" s="4">
        <f>L198/M198</f>
        <v>0.4799071026146233</v>
      </c>
    </row>
    <row r="199" spans="1:16" ht="12.75">
      <c r="A199" s="59"/>
      <c r="B199" s="20"/>
      <c r="C199" s="36"/>
      <c r="D199" s="36"/>
      <c r="E199" s="36"/>
      <c r="F199" s="36"/>
      <c r="G199" s="20"/>
      <c r="H199" s="36"/>
      <c r="I199" s="36"/>
      <c r="J199" s="39"/>
      <c r="K199" s="36"/>
      <c r="L199" s="36"/>
      <c r="M199" s="36"/>
      <c r="N199" s="36"/>
      <c r="O199" s="4"/>
      <c r="P199" s="4"/>
    </row>
    <row r="200" spans="1:16" ht="12.75">
      <c r="A200" s="59" t="s">
        <v>114</v>
      </c>
      <c r="B200" s="20"/>
      <c r="C200" s="36">
        <f>SUM(C194:C199)/5</f>
        <v>5707.031999999999</v>
      </c>
      <c r="D200" s="36"/>
      <c r="E200" s="36">
        <f>SUM(E194:E199)/5</f>
        <v>5707.031999999999</v>
      </c>
      <c r="F200" s="36">
        <f>SUM(F194:F199)/5</f>
        <v>100776.32421749443</v>
      </c>
      <c r="G200" s="20"/>
      <c r="H200" s="36"/>
      <c r="I200" s="36">
        <f>SUM(I194:I199)/5</f>
        <v>963.7923382448059</v>
      </c>
      <c r="J200" s="36">
        <f>SUM(J194:J199)/5</f>
        <v>0</v>
      </c>
      <c r="K200" s="36">
        <v>963.7923382448059</v>
      </c>
      <c r="L200" s="36">
        <f>SUM(L194:L199)/5</f>
        <v>79997.50807499999</v>
      </c>
      <c r="M200" s="36">
        <f>SUM(M194:M199)/5</f>
        <v>180773.83229249442</v>
      </c>
      <c r="N200" s="36"/>
      <c r="O200" s="4">
        <f>F200/M200</f>
        <v>0.5574718582855345</v>
      </c>
      <c r="P200" s="4">
        <f>L200/M200</f>
        <v>0.4425281417144655</v>
      </c>
    </row>
    <row r="201" spans="1:15" ht="12.75">
      <c r="A201" s="59"/>
      <c r="B201" s="20"/>
      <c r="C201" s="36"/>
      <c r="D201" s="36"/>
      <c r="E201" s="36"/>
      <c r="F201" s="36"/>
      <c r="G201" s="20"/>
      <c r="H201" s="36"/>
      <c r="I201" s="36"/>
      <c r="J201" s="39"/>
      <c r="K201" s="36"/>
      <c r="L201" s="36"/>
      <c r="M201" s="36"/>
      <c r="N201" s="36"/>
      <c r="O201" s="4"/>
    </row>
    <row r="202" spans="1:16" ht="12.75">
      <c r="A202" s="59">
        <v>1546</v>
      </c>
      <c r="B202" s="20"/>
      <c r="C202" s="34">
        <v>28887.384</v>
      </c>
      <c r="D202" s="34"/>
      <c r="E202" s="34">
        <v>28887.384</v>
      </c>
      <c r="F202" s="34">
        <v>446895.84</v>
      </c>
      <c r="G202" s="20"/>
      <c r="H202" s="34">
        <v>10594.053</v>
      </c>
      <c r="I202" s="34">
        <v>3488.581948657092</v>
      </c>
      <c r="J202" s="39"/>
      <c r="K202" s="36">
        <v>3488.581948657092</v>
      </c>
      <c r="L202" s="34">
        <v>317821.58999999997</v>
      </c>
      <c r="M202" s="34">
        <v>764717.43</v>
      </c>
      <c r="N202" s="36"/>
      <c r="O202" s="4">
        <f>F202/M202</f>
        <v>0.5843934275174034</v>
      </c>
      <c r="P202" s="4">
        <f>L202/M202</f>
        <v>0.4156065724825965</v>
      </c>
    </row>
    <row r="203" spans="1:16" ht="12.75">
      <c r="A203" s="59">
        <v>1547</v>
      </c>
      <c r="B203" s="20"/>
      <c r="C203" s="34">
        <v>17964.476</v>
      </c>
      <c r="D203" s="34"/>
      <c r="E203" s="34">
        <v>17964.476</v>
      </c>
      <c r="F203" s="34">
        <v>346542.8</v>
      </c>
      <c r="G203" s="20"/>
      <c r="H203" s="34">
        <v>11588.934</v>
      </c>
      <c r="I203" s="34">
        <v>3604.5613053458396</v>
      </c>
      <c r="J203" s="39"/>
      <c r="K203" s="36">
        <v>3604.5613053458396</v>
      </c>
      <c r="L203" s="34">
        <v>347668.01999999996</v>
      </c>
      <c r="M203" s="34">
        <v>694210.82</v>
      </c>
      <c r="N203" s="36"/>
      <c r="O203" s="4">
        <f>F203/M203</f>
        <v>0.49918956895543637</v>
      </c>
      <c r="P203" s="4">
        <f>L203/M203</f>
        <v>0.5008104310445637</v>
      </c>
    </row>
    <row r="204" spans="1:16" ht="12.75">
      <c r="A204" s="59">
        <v>1548</v>
      </c>
      <c r="B204" s="20"/>
      <c r="C204" s="34">
        <v>13473.3</v>
      </c>
      <c r="D204" s="34"/>
      <c r="E204" s="34">
        <v>13473.3</v>
      </c>
      <c r="F204" s="34">
        <v>259906</v>
      </c>
      <c r="G204" s="20"/>
      <c r="H204" s="34">
        <v>5812.5</v>
      </c>
      <c r="I204" s="34">
        <v>1807.8895425</v>
      </c>
      <c r="J204" s="39"/>
      <c r="K204" s="36">
        <v>1807.8895425</v>
      </c>
      <c r="L204" s="34">
        <v>174375</v>
      </c>
      <c r="M204" s="34">
        <v>434281</v>
      </c>
      <c r="N204" s="36"/>
      <c r="O204" s="4">
        <f>F204/M204</f>
        <v>0.5984742597534776</v>
      </c>
      <c r="P204" s="4">
        <f>L204/M204</f>
        <v>0.40152574024652243</v>
      </c>
    </row>
    <row r="205" spans="1:16" ht="12.75">
      <c r="A205" s="59">
        <v>1549</v>
      </c>
      <c r="B205" s="20"/>
      <c r="C205" s="34">
        <v>30210.765</v>
      </c>
      <c r="D205" s="34"/>
      <c r="E205" s="34">
        <v>30210.765</v>
      </c>
      <c r="F205" s="34">
        <v>582779.19</v>
      </c>
      <c r="G205" s="20"/>
      <c r="H205" s="34">
        <v>2157.583</v>
      </c>
      <c r="I205" s="34">
        <v>709.576443723588</v>
      </c>
      <c r="J205" s="39"/>
      <c r="K205" s="36">
        <v>709.576443723588</v>
      </c>
      <c r="L205" s="34">
        <v>69677.822</v>
      </c>
      <c r="M205" s="34">
        <v>652457.012</v>
      </c>
      <c r="N205" s="36"/>
      <c r="O205" s="4">
        <f>F205/M205</f>
        <v>0.8932070301667628</v>
      </c>
      <c r="P205" s="4">
        <f>L205/M205</f>
        <v>0.10679296983323708</v>
      </c>
    </row>
    <row r="206" spans="1:16" ht="12.75">
      <c r="A206" s="59">
        <v>1550</v>
      </c>
      <c r="B206" s="20"/>
      <c r="C206" s="34">
        <v>19612.73</v>
      </c>
      <c r="D206" s="34"/>
      <c r="E206" s="34">
        <v>19612.73</v>
      </c>
      <c r="F206" s="34">
        <v>378338.35</v>
      </c>
      <c r="G206" s="20"/>
      <c r="H206" s="34">
        <v>1022.417</v>
      </c>
      <c r="I206" s="34">
        <v>349.807948836412</v>
      </c>
      <c r="J206" s="39"/>
      <c r="K206" s="36">
        <v>349.807948836412</v>
      </c>
      <c r="L206" s="34">
        <v>34762.178</v>
      </c>
      <c r="M206" s="34">
        <v>413100.528</v>
      </c>
      <c r="N206" s="36"/>
      <c r="O206" s="4">
        <f>F206/M206</f>
        <v>0.9158505602297365</v>
      </c>
      <c r="P206" s="4">
        <f>L206/M206</f>
        <v>0.08414943977026337</v>
      </c>
    </row>
    <row r="207" spans="1:16" ht="12.75">
      <c r="A207" s="59"/>
      <c r="B207" s="20"/>
      <c r="C207" s="36"/>
      <c r="D207" s="36"/>
      <c r="E207" s="36"/>
      <c r="F207" s="36"/>
      <c r="G207" s="20"/>
      <c r="H207" s="36"/>
      <c r="I207" s="36"/>
      <c r="J207" s="39"/>
      <c r="K207" s="36"/>
      <c r="L207" s="36"/>
      <c r="M207" s="36"/>
      <c r="N207" s="36"/>
      <c r="O207" s="4"/>
      <c r="P207" s="4"/>
    </row>
    <row r="208" spans="1:16" ht="12.75">
      <c r="A208" s="59" t="s">
        <v>119</v>
      </c>
      <c r="B208" s="20"/>
      <c r="C208" s="36">
        <f>SUM(C202:C207)/5</f>
        <v>22029.731</v>
      </c>
      <c r="D208" s="36"/>
      <c r="E208" s="36">
        <f>SUM(E202:E207)/5</f>
        <v>22029.731</v>
      </c>
      <c r="F208" s="36">
        <f>SUM(F202:F207)/5</f>
        <v>402892.43600000005</v>
      </c>
      <c r="G208" s="20"/>
      <c r="H208" s="36"/>
      <c r="I208" s="36">
        <f>SUM(I202:I207)/5</f>
        <v>1992.0834378125867</v>
      </c>
      <c r="J208" s="36">
        <f>SUM(J202:J207)/5</f>
        <v>0</v>
      </c>
      <c r="K208" s="36">
        <v>1992.0834378125867</v>
      </c>
      <c r="L208" s="36">
        <f>SUM(L202:L207)/5</f>
        <v>188860.92199999996</v>
      </c>
      <c r="M208" s="36">
        <f>SUM(M202:M207)/5</f>
        <v>591753.358</v>
      </c>
      <c r="N208" s="36"/>
      <c r="O208" s="4">
        <f>F208/M208</f>
        <v>0.6808452044305933</v>
      </c>
      <c r="P208" s="4">
        <f>L208/M208</f>
        <v>0.31915479556940674</v>
      </c>
    </row>
    <row r="209" spans="1:16" ht="12.75">
      <c r="A209" s="59"/>
      <c r="B209" s="20"/>
      <c r="C209" s="36"/>
      <c r="D209" s="36"/>
      <c r="E209" s="36"/>
      <c r="F209" s="36"/>
      <c r="G209" s="20"/>
      <c r="H209" s="36"/>
      <c r="I209" s="36"/>
      <c r="J209" s="39"/>
      <c r="K209" s="36"/>
      <c r="L209" s="36"/>
      <c r="M209" s="36"/>
      <c r="N209" s="36"/>
      <c r="O209" s="4"/>
      <c r="P209" s="4"/>
    </row>
    <row r="210" spans="1:16" ht="12.75">
      <c r="A210" s="59">
        <v>1551</v>
      </c>
      <c r="B210" s="20"/>
      <c r="C210" s="34">
        <v>10462.166</v>
      </c>
      <c r="D210" s="34"/>
      <c r="E210" s="34">
        <v>10462.166</v>
      </c>
      <c r="F210" s="34">
        <v>288299.33</v>
      </c>
      <c r="G210" s="20"/>
      <c r="H210" s="34">
        <v>96.448</v>
      </c>
      <c r="I210" s="34">
        <v>35.808282465231464</v>
      </c>
      <c r="J210" s="39"/>
      <c r="K210" s="36">
        <v>35.808282465231464</v>
      </c>
      <c r="L210" s="34">
        <v>2777.7023999999997</v>
      </c>
      <c r="M210" s="34">
        <v>291077.0324</v>
      </c>
      <c r="N210" s="36"/>
      <c r="O210" s="4">
        <f>F210/M210</f>
        <v>0.9904571570724863</v>
      </c>
      <c r="P210" s="4">
        <f>L210/M210</f>
        <v>0.009542842927513643</v>
      </c>
    </row>
    <row r="211" spans="1:16" ht="12.75">
      <c r="A211" s="59">
        <v>1552</v>
      </c>
      <c r="B211" s="20"/>
      <c r="C211" s="34">
        <v>9567.14</v>
      </c>
      <c r="D211" s="34"/>
      <c r="E211" s="34">
        <v>9567.14</v>
      </c>
      <c r="F211" s="34">
        <v>83508.79</v>
      </c>
      <c r="G211" s="20"/>
      <c r="H211" s="34">
        <v>218</v>
      </c>
      <c r="I211" s="34">
        <v>74.58613544800001</v>
      </c>
      <c r="J211" s="39"/>
      <c r="K211" s="34">
        <v>74.58613544800001</v>
      </c>
      <c r="L211" s="34">
        <v>7194</v>
      </c>
      <c r="M211" s="34">
        <v>90702.79</v>
      </c>
      <c r="N211" s="36"/>
      <c r="O211" s="4">
        <f>F211/M211</f>
        <v>0.9206860119738324</v>
      </c>
      <c r="P211" s="4">
        <f>L211/M211</f>
        <v>0.07931398802616767</v>
      </c>
    </row>
    <row r="212" spans="1:16" ht="12.75">
      <c r="A212" s="59">
        <v>1553</v>
      </c>
      <c r="B212" s="20"/>
      <c r="C212" s="34">
        <v>9299.708999999999</v>
      </c>
      <c r="D212" s="34"/>
      <c r="E212" s="34">
        <v>9299.708999999999</v>
      </c>
      <c r="F212" s="34">
        <v>81353.64499999999</v>
      </c>
      <c r="G212" s="20"/>
      <c r="H212" s="36"/>
      <c r="I212" s="34">
        <v>151.08742919954585</v>
      </c>
      <c r="J212" s="34"/>
      <c r="K212" s="34">
        <v>151.08742919954585</v>
      </c>
      <c r="L212" s="34">
        <v>14631</v>
      </c>
      <c r="M212" s="34">
        <v>95984.64499999999</v>
      </c>
      <c r="N212" s="36"/>
      <c r="O212" s="4">
        <f>F212/M212</f>
        <v>0.8475693690381414</v>
      </c>
      <c r="P212" s="4">
        <f>L212/M212</f>
        <v>0.15243063096185855</v>
      </c>
    </row>
    <row r="213" spans="1:16" ht="12.75">
      <c r="A213" s="59">
        <v>1554</v>
      </c>
      <c r="B213" s="20"/>
      <c r="C213" s="34">
        <v>9032.278</v>
      </c>
      <c r="D213" s="34"/>
      <c r="E213" s="34">
        <v>9032.278</v>
      </c>
      <c r="F213" s="34">
        <v>79198.5</v>
      </c>
      <c r="G213" s="20"/>
      <c r="H213" s="34">
        <v>613</v>
      </c>
      <c r="I213" s="34">
        <v>227.58872295109168</v>
      </c>
      <c r="J213" s="39"/>
      <c r="K213" s="34">
        <v>227.58872295109168</v>
      </c>
      <c r="L213" s="34">
        <v>22068</v>
      </c>
      <c r="M213" s="34">
        <v>101266.5</v>
      </c>
      <c r="N213" s="36"/>
      <c r="O213" s="4">
        <f>F213/M213</f>
        <v>0.7820799573402852</v>
      </c>
      <c r="P213" s="4">
        <f>L213/M213</f>
        <v>0.2179200426597147</v>
      </c>
    </row>
    <row r="214" spans="1:16" ht="12.75">
      <c r="A214" s="59">
        <v>1555</v>
      </c>
      <c r="B214" s="20"/>
      <c r="C214" s="34">
        <v>8782.983</v>
      </c>
      <c r="D214" s="34"/>
      <c r="E214" s="34">
        <v>8782.983</v>
      </c>
      <c r="F214" s="34">
        <v>77012.58</v>
      </c>
      <c r="G214" s="20"/>
      <c r="H214" s="34">
        <v>929.055</v>
      </c>
      <c r="I214" s="34">
        <v>344.9305725959649</v>
      </c>
      <c r="J214" s="39"/>
      <c r="K214" s="34">
        <v>344.9305725959649</v>
      </c>
      <c r="L214" s="34">
        <v>33445.98</v>
      </c>
      <c r="M214" s="34">
        <v>110458.56</v>
      </c>
      <c r="N214" s="36"/>
      <c r="O214" s="4">
        <f>F214/M214</f>
        <v>0.6972078940735784</v>
      </c>
      <c r="P214" s="4">
        <f>L214/M214</f>
        <v>0.3027921059264217</v>
      </c>
    </row>
    <row r="215" spans="1:16" ht="12.75">
      <c r="A215" s="59"/>
      <c r="B215" s="20"/>
      <c r="C215" s="36"/>
      <c r="D215" s="36"/>
      <c r="E215" s="36"/>
      <c r="F215" s="36"/>
      <c r="G215" s="20"/>
      <c r="H215" s="36"/>
      <c r="I215" s="36"/>
      <c r="J215" s="39"/>
      <c r="K215" s="36"/>
      <c r="L215" s="36"/>
      <c r="M215" s="36"/>
      <c r="N215" s="36"/>
      <c r="O215" s="4"/>
      <c r="P215" s="4"/>
    </row>
    <row r="216" spans="1:16" ht="12.75">
      <c r="A216" s="59" t="s">
        <v>126</v>
      </c>
      <c r="B216" s="20"/>
      <c r="C216" s="36">
        <f>SUM(C210:C215)/5</f>
        <v>9428.8552</v>
      </c>
      <c r="D216" s="36"/>
      <c r="E216" s="36">
        <f>SUM(E210:E215)/5</f>
        <v>9428.8552</v>
      </c>
      <c r="F216" s="36">
        <f>SUM(F210:F215)/5</f>
        <v>121874.56899999999</v>
      </c>
      <c r="G216" s="20"/>
      <c r="H216" s="36"/>
      <c r="I216" s="36">
        <f>SUM(I210:I215)/5</f>
        <v>166.80022853196678</v>
      </c>
      <c r="J216" s="36">
        <f>SUM(J210:J215)/5</f>
        <v>0</v>
      </c>
      <c r="K216" s="36">
        <v>136.58274269205762</v>
      </c>
      <c r="L216" s="36">
        <f>SUM(L210:L215)/5</f>
        <v>16023.336480000002</v>
      </c>
      <c r="M216" s="36">
        <f>SUM(M210:M215)/5</f>
        <v>137897.90548000002</v>
      </c>
      <c r="N216" s="36"/>
      <c r="O216" s="4">
        <f>F216/M216</f>
        <v>0.8838029016885687</v>
      </c>
      <c r="P216" s="4">
        <f>L216/M216</f>
        <v>0.11619709831143114</v>
      </c>
    </row>
    <row r="217" spans="1:14" ht="12.75">
      <c r="A217" s="59"/>
      <c r="B217" s="20"/>
      <c r="C217" s="36"/>
      <c r="D217" s="36"/>
      <c r="E217" s="36"/>
      <c r="F217" s="36"/>
      <c r="G217" s="20"/>
      <c r="H217" s="36"/>
      <c r="I217" s="36"/>
      <c r="J217" s="39"/>
      <c r="K217" s="36"/>
      <c r="L217" s="36"/>
      <c r="M217" s="36"/>
      <c r="N217" s="36"/>
    </row>
    <row r="218" spans="1:16" ht="12.75">
      <c r="A218" s="59">
        <v>1556</v>
      </c>
      <c r="B218" s="20"/>
      <c r="C218" s="34">
        <v>8707.304</v>
      </c>
      <c r="D218" s="34"/>
      <c r="E218" s="34">
        <f>C218+D218</f>
        <v>8707.304</v>
      </c>
      <c r="F218" s="34">
        <v>76349.01</v>
      </c>
      <c r="G218" s="20"/>
      <c r="H218" s="34">
        <v>1025</v>
      </c>
      <c r="I218" s="34">
        <v>380.55210607645836</v>
      </c>
      <c r="J218" s="39"/>
      <c r="K218" s="34">
        <f>I218+J218</f>
        <v>380.55210607645836</v>
      </c>
      <c r="L218" s="34">
        <v>36900</v>
      </c>
      <c r="M218" s="34">
        <f>F218+L218</f>
        <v>113249.01</v>
      </c>
      <c r="N218" s="36"/>
      <c r="O218" s="4">
        <f>F218/M218</f>
        <v>0.6741693371094369</v>
      </c>
      <c r="P218" s="4">
        <f>L218/M218</f>
        <v>0.325830662890563</v>
      </c>
    </row>
    <row r="219" spans="1:16" ht="12.75">
      <c r="A219" s="59">
        <v>1557</v>
      </c>
      <c r="B219" s="20"/>
      <c r="C219" s="34">
        <f>(C218+332)/2</f>
        <v>4519.652</v>
      </c>
      <c r="D219" s="34"/>
      <c r="E219" s="34">
        <f>C219+D219</f>
        <v>4519.652</v>
      </c>
      <c r="F219" s="34">
        <f>(F218+332)/2</f>
        <v>38340.505</v>
      </c>
      <c r="G219" s="20"/>
      <c r="H219" s="36"/>
      <c r="I219" s="34">
        <f>(I218+332)/2</f>
        <v>356.2760530382292</v>
      </c>
      <c r="J219" s="34"/>
      <c r="K219" s="34">
        <f>I219+J219</f>
        <v>356.2760530382292</v>
      </c>
      <c r="L219" s="34">
        <f>(L218+L220)/2</f>
        <v>30004.120799999997</v>
      </c>
      <c r="M219" s="34">
        <f>F219+L219</f>
        <v>68344.6258</v>
      </c>
      <c r="N219" s="36"/>
      <c r="O219" s="4">
        <f>F219/M219</f>
        <v>0.5609878545856345</v>
      </c>
      <c r="P219" s="4">
        <f>L219/M219</f>
        <v>0.43901214541436556</v>
      </c>
    </row>
    <row r="220" spans="1:16" ht="12.75">
      <c r="A220" s="59">
        <v>1558</v>
      </c>
      <c r="B220" s="20"/>
      <c r="C220" s="34">
        <f>(C219+C221)/2</f>
        <v>3388.9945</v>
      </c>
      <c r="D220" s="34"/>
      <c r="E220" s="34">
        <f>C220+D220</f>
        <v>3388.9945</v>
      </c>
      <c r="F220" s="34">
        <f>(F219+F221)/2</f>
        <v>29071.2375</v>
      </c>
      <c r="G220" s="20"/>
      <c r="H220" s="36"/>
      <c r="I220" s="34">
        <f>(I219+I221)/2</f>
        <v>261.7713859632938</v>
      </c>
      <c r="J220" s="34"/>
      <c r="K220" s="34">
        <f>I220+J220</f>
        <v>261.7713859632938</v>
      </c>
      <c r="L220" s="34">
        <f>(L219+L221)/2</f>
        <v>23108.241599999998</v>
      </c>
      <c r="M220" s="34">
        <f>F220+L220</f>
        <v>52179.4791</v>
      </c>
      <c r="N220" s="36"/>
      <c r="O220" s="4">
        <f>F220/M220</f>
        <v>0.557139281599306</v>
      </c>
      <c r="P220" s="4">
        <f>L220/M220</f>
        <v>0.442860718400694</v>
      </c>
    </row>
    <row r="221" spans="1:16" ht="12.75">
      <c r="A221" s="59">
        <v>1559</v>
      </c>
      <c r="B221" s="20"/>
      <c r="C221" s="34">
        <v>2258.337</v>
      </c>
      <c r="D221" s="34"/>
      <c r="E221" s="34">
        <f>C221+D221</f>
        <v>2258.337</v>
      </c>
      <c r="F221" s="34">
        <v>19801.97</v>
      </c>
      <c r="G221" s="20"/>
      <c r="H221" s="34">
        <v>453.4593</v>
      </c>
      <c r="I221" s="34">
        <v>167.26671888835847</v>
      </c>
      <c r="J221" s="39"/>
      <c r="K221" s="34">
        <f>I221+J221</f>
        <v>167.26671888835847</v>
      </c>
      <c r="L221" s="34">
        <v>16212.362399999998</v>
      </c>
      <c r="M221" s="34">
        <f>F221+L221</f>
        <v>36014.3324</v>
      </c>
      <c r="N221" s="36"/>
      <c r="O221" s="4">
        <f>F221/M221</f>
        <v>0.5498358203635617</v>
      </c>
      <c r="P221" s="4">
        <f>L221/M221</f>
        <v>0.45016417963643823</v>
      </c>
    </row>
    <row r="222" spans="1:16" ht="12.75">
      <c r="A222" s="59">
        <v>1560</v>
      </c>
      <c r="B222" s="20"/>
      <c r="C222" s="34">
        <v>1888.1</v>
      </c>
      <c r="D222" s="34"/>
      <c r="E222" s="34">
        <f>C222+D222</f>
        <v>1888.1</v>
      </c>
      <c r="F222" s="34">
        <v>16555.59</v>
      </c>
      <c r="G222" s="20"/>
      <c r="H222" s="34">
        <v>379.122</v>
      </c>
      <c r="I222" s="34">
        <v>139.84605770960857</v>
      </c>
      <c r="J222" s="39"/>
      <c r="K222" s="34">
        <f>I222+J222</f>
        <v>139.84605770960857</v>
      </c>
      <c r="L222" s="34">
        <v>13554.608999999999</v>
      </c>
      <c r="M222" s="34">
        <f>F222+L222</f>
        <v>30110.199</v>
      </c>
      <c r="N222" s="36"/>
      <c r="O222" s="4">
        <f>F222/M222</f>
        <v>0.5498332973488484</v>
      </c>
      <c r="P222" s="4">
        <f>L222/M222</f>
        <v>0.4501667026511515</v>
      </c>
    </row>
    <row r="223" spans="1:16" ht="12.75">
      <c r="A223" s="59"/>
      <c r="B223" s="20"/>
      <c r="C223" s="36"/>
      <c r="D223" s="36"/>
      <c r="E223" s="36"/>
      <c r="F223" s="36"/>
      <c r="G223" s="20"/>
      <c r="H223" s="36"/>
      <c r="I223" s="36"/>
      <c r="J223" s="39"/>
      <c r="K223" s="36"/>
      <c r="L223" s="36"/>
      <c r="M223" s="36"/>
      <c r="N223" s="36"/>
      <c r="O223" s="4"/>
      <c r="P223" s="4"/>
    </row>
    <row r="224" spans="1:16" ht="12.75">
      <c r="A224" s="59" t="s">
        <v>131</v>
      </c>
      <c r="B224" s="20"/>
      <c r="C224" s="36">
        <f>SUM(C218:C223)/5</f>
        <v>4152.477499999999</v>
      </c>
      <c r="D224" s="36"/>
      <c r="E224" s="36">
        <f>SUM(E218:E223)/5</f>
        <v>4152.477499999999</v>
      </c>
      <c r="F224" s="36">
        <f>SUM(F218:F223)/5</f>
        <v>36023.66249999999</v>
      </c>
      <c r="G224" s="20"/>
      <c r="H224" s="36"/>
      <c r="I224" s="36">
        <f>SUM(I218:I223)/5</f>
        <v>261.1424643351897</v>
      </c>
      <c r="J224" s="36">
        <f>SUM(J218:J223)/5</f>
        <v>0</v>
      </c>
      <c r="K224" s="36">
        <v>137.53297653488508</v>
      </c>
      <c r="L224" s="36">
        <f>SUM(L218:L223)/5</f>
        <v>23955.866759999997</v>
      </c>
      <c r="M224" s="36">
        <f>SUM(M218:M223)/5</f>
        <v>59979.52926</v>
      </c>
      <c r="N224" s="36"/>
      <c r="O224" s="4">
        <f>F224/M224</f>
        <v>0.6005992868640928</v>
      </c>
      <c r="P224" s="4">
        <f>L224/M224</f>
        <v>0.3994007131359069</v>
      </c>
    </row>
    <row r="225" spans="1:16" ht="12.75">
      <c r="A225" s="59"/>
      <c r="B225" s="20"/>
      <c r="C225" s="36"/>
      <c r="D225" s="36"/>
      <c r="E225" s="36"/>
      <c r="F225" s="36"/>
      <c r="G225" s="20"/>
      <c r="H225" s="36"/>
      <c r="I225" s="36"/>
      <c r="J225" s="39"/>
      <c r="K225" s="36"/>
      <c r="L225" s="36"/>
      <c r="M225" s="36"/>
      <c r="N225" s="36"/>
      <c r="O225" s="4"/>
      <c r="P225" s="4"/>
    </row>
    <row r="226" spans="1:16" ht="12.75">
      <c r="A226" s="59">
        <v>1561</v>
      </c>
      <c r="B226" s="20"/>
      <c r="C226" s="34">
        <v>81437.882</v>
      </c>
      <c r="D226" s="34"/>
      <c r="E226" s="34">
        <v>81437.882</v>
      </c>
      <c r="F226" s="34">
        <v>707845.48</v>
      </c>
      <c r="G226" s="20"/>
      <c r="H226" s="34">
        <v>266.746</v>
      </c>
      <c r="I226" s="34">
        <v>95.99153580458429</v>
      </c>
      <c r="J226" s="39"/>
      <c r="K226" s="36">
        <v>95.99153580458429</v>
      </c>
      <c r="L226" s="34">
        <v>9289.455</v>
      </c>
      <c r="M226" s="34">
        <v>717134.9349999999</v>
      </c>
      <c r="N226" s="36"/>
      <c r="O226" s="4">
        <f>F226/M226</f>
        <v>0.9870464335976047</v>
      </c>
      <c r="P226" s="4">
        <f>L226/M226</f>
        <v>0.01295356640239539</v>
      </c>
    </row>
    <row r="227" spans="1:16" ht="12.75">
      <c r="A227" s="59">
        <v>1562</v>
      </c>
      <c r="B227" s="20"/>
      <c r="C227" s="34">
        <v>25374.949</v>
      </c>
      <c r="D227" s="34"/>
      <c r="E227" s="34">
        <v>25374.949</v>
      </c>
      <c r="F227" s="34">
        <v>220492.68810019214</v>
      </c>
      <c r="G227" s="20"/>
      <c r="H227" s="34">
        <v>2122.708</v>
      </c>
      <c r="I227" s="34">
        <v>727.2654733373308</v>
      </c>
      <c r="J227" s="39"/>
      <c r="K227" s="36">
        <v>727.2654733373308</v>
      </c>
      <c r="L227" s="34">
        <v>70152.951</v>
      </c>
      <c r="M227" s="34">
        <v>290645.6391001921</v>
      </c>
      <c r="N227" s="36"/>
      <c r="O227" s="4">
        <f>F227/M227</f>
        <v>0.7586306430841832</v>
      </c>
      <c r="P227" s="4">
        <f>L227/M227</f>
        <v>0.24136935691581698</v>
      </c>
    </row>
    <row r="228" spans="1:16" ht="12.75">
      <c r="A228" s="59">
        <v>1563</v>
      </c>
      <c r="B228" s="20"/>
      <c r="C228" s="34">
        <v>6584.905</v>
      </c>
      <c r="D228" s="34"/>
      <c r="E228" s="34">
        <v>6584.905</v>
      </c>
      <c r="F228" s="34">
        <v>57218.77132972349</v>
      </c>
      <c r="G228" s="20"/>
      <c r="H228" s="34">
        <v>517.4530000000001</v>
      </c>
      <c r="I228" s="34">
        <v>177.0891363910435</v>
      </c>
      <c r="J228" s="39"/>
      <c r="K228" s="36">
        <v>177.0891363910435</v>
      </c>
      <c r="L228" s="34">
        <v>17080.962</v>
      </c>
      <c r="M228" s="34">
        <v>74299.73332972349</v>
      </c>
      <c r="N228" s="36"/>
      <c r="O228" s="4">
        <f>F228/M228</f>
        <v>0.7701073579335878</v>
      </c>
      <c r="P228" s="4">
        <f>L228/M228</f>
        <v>0.22989264206641222</v>
      </c>
    </row>
    <row r="229" spans="1:16" ht="12.75">
      <c r="A229" s="59">
        <v>1564</v>
      </c>
      <c r="B229" s="20"/>
      <c r="C229" s="34">
        <v>4123.182</v>
      </c>
      <c r="D229" s="34"/>
      <c r="E229" s="34">
        <v>4123.182</v>
      </c>
      <c r="F229" s="34">
        <v>35827.91369181969</v>
      </c>
      <c r="G229" s="20"/>
      <c r="H229" s="36">
        <v>424.282</v>
      </c>
      <c r="I229" s="34">
        <v>145.16309504655197</v>
      </c>
      <c r="J229" s="34"/>
      <c r="K229" s="36">
        <v>145.16309504655197</v>
      </c>
      <c r="L229" s="34">
        <v>14001.29519634948</v>
      </c>
      <c r="M229" s="34">
        <v>49829.20888816917</v>
      </c>
      <c r="N229" s="36"/>
      <c r="O229" s="4">
        <f>F229/M229</f>
        <v>0.7190142988669087</v>
      </c>
      <c r="P229" s="4">
        <f>L229/M229</f>
        <v>0.28098570113309135</v>
      </c>
    </row>
    <row r="230" spans="1:16" ht="12.75">
      <c r="A230" s="59">
        <v>1565</v>
      </c>
      <c r="B230" s="20"/>
      <c r="C230" s="34">
        <v>3795.595</v>
      </c>
      <c r="D230" s="34"/>
      <c r="E230" s="34">
        <v>3795.595</v>
      </c>
      <c r="F230" s="34">
        <v>32981.384297152625</v>
      </c>
      <c r="G230" s="20"/>
      <c r="H230" s="36">
        <v>390.573</v>
      </c>
      <c r="I230" s="34">
        <v>133.629957249228</v>
      </c>
      <c r="J230" s="34"/>
      <c r="K230" s="36">
        <v>133.629957249228</v>
      </c>
      <c r="L230" s="34">
        <v>12888.899054694299</v>
      </c>
      <c r="M230" s="34">
        <v>45870.28335184693</v>
      </c>
      <c r="N230" s="36"/>
      <c r="O230" s="4">
        <f>F230/M230</f>
        <v>0.7190141827590141</v>
      </c>
      <c r="P230" s="4">
        <f>L230/M230</f>
        <v>0.2809858172409859</v>
      </c>
    </row>
    <row r="231" spans="1:16" ht="12.75">
      <c r="A231" s="59"/>
      <c r="B231" s="20"/>
      <c r="C231" s="36"/>
      <c r="D231" s="36"/>
      <c r="E231" s="36"/>
      <c r="F231" s="36"/>
      <c r="G231" s="20"/>
      <c r="H231" s="36"/>
      <c r="I231" s="36"/>
      <c r="J231" s="36"/>
      <c r="K231" s="36"/>
      <c r="L231" s="36"/>
      <c r="M231" s="36"/>
      <c r="N231" s="36"/>
      <c r="O231" s="4"/>
      <c r="P231" s="4"/>
    </row>
    <row r="232" spans="1:16" ht="12.75">
      <c r="A232" s="59" t="s">
        <v>136</v>
      </c>
      <c r="B232" s="20"/>
      <c r="C232" s="36">
        <f>SUM(C226:C231)/5</f>
        <v>24263.302600000003</v>
      </c>
      <c r="D232" s="36"/>
      <c r="E232" s="36">
        <f>SUM(E226:E231)/5</f>
        <v>24263.302600000003</v>
      </c>
      <c r="F232" s="36">
        <f>SUM(F226:F231)/5</f>
        <v>210873.24748377758</v>
      </c>
      <c r="G232" s="20"/>
      <c r="H232" s="36"/>
      <c r="I232" s="36">
        <f>SUM(I226:I231)/5</f>
        <v>255.82783956574772</v>
      </c>
      <c r="J232" s="36">
        <f>SUM(J226:J231)/5</f>
        <v>0</v>
      </c>
      <c r="K232" s="36">
        <v>255.82783956574772</v>
      </c>
      <c r="L232" s="36">
        <f>SUM(L226:L231)/5</f>
        <v>24682.712450208757</v>
      </c>
      <c r="M232" s="36">
        <f>SUM(M226:M231)/5</f>
        <v>235555.95993398633</v>
      </c>
      <c r="N232" s="36"/>
      <c r="O232" s="4">
        <f>F232/M232</f>
        <v>0.895215079859894</v>
      </c>
      <c r="P232" s="4">
        <f>L232/M232</f>
        <v>0.10478492014010596</v>
      </c>
    </row>
    <row r="233" spans="1:16" ht="12.75">
      <c r="A233" s="59"/>
      <c r="B233" s="20"/>
      <c r="C233" s="36"/>
      <c r="D233" s="36"/>
      <c r="E233" s="36"/>
      <c r="F233" s="36"/>
      <c r="G233" s="20"/>
      <c r="H233" s="36"/>
      <c r="I233" s="36"/>
      <c r="J233" s="36"/>
      <c r="K233" s="36"/>
      <c r="L233" s="36"/>
      <c r="M233" s="36"/>
      <c r="N233" s="36"/>
      <c r="O233" s="4"/>
      <c r="P233" s="4"/>
    </row>
    <row r="234" spans="1:16" ht="12.75">
      <c r="A234" s="59">
        <v>1566</v>
      </c>
      <c r="B234" s="20"/>
      <c r="C234" s="34">
        <v>8769.921</v>
      </c>
      <c r="D234" s="34"/>
      <c r="E234" s="34">
        <v>8769.921</v>
      </c>
      <c r="F234" s="34">
        <v>76205.21545546062</v>
      </c>
      <c r="G234" s="20"/>
      <c r="H234" s="36">
        <v>1245.463</v>
      </c>
      <c r="I234" s="34">
        <v>426.12051382326797</v>
      </c>
      <c r="J234" s="34"/>
      <c r="K234" s="34">
        <v>426.12051382326797</v>
      </c>
      <c r="L234" s="34">
        <v>41100.24728631197</v>
      </c>
      <c r="M234" s="34">
        <v>117305.46274177259</v>
      </c>
      <c r="N234" s="36"/>
      <c r="O234" s="4">
        <f>F234/M234</f>
        <v>0.649630577079032</v>
      </c>
      <c r="P234" s="4">
        <f>L234/M234</f>
        <v>0.35036942292096795</v>
      </c>
    </row>
    <row r="235" spans="1:16" ht="12.75">
      <c r="A235" s="59">
        <v>1567</v>
      </c>
      <c r="B235" s="20"/>
      <c r="C235" s="34">
        <v>12009.185</v>
      </c>
      <c r="D235" s="34"/>
      <c r="E235" s="34">
        <v>12009.185</v>
      </c>
      <c r="F235" s="34">
        <v>104352.42579374272</v>
      </c>
      <c r="G235" s="20"/>
      <c r="H235" s="34">
        <v>579.79</v>
      </c>
      <c r="I235" s="34">
        <v>199.2262393988132</v>
      </c>
      <c r="J235" s="39"/>
      <c r="K235" s="36">
        <v>199.2262393988132</v>
      </c>
      <c r="L235" s="34">
        <v>19221.417</v>
      </c>
      <c r="M235" s="34">
        <v>123573.84279374272</v>
      </c>
      <c r="N235" s="36"/>
      <c r="O235" s="4">
        <f>F235/M235</f>
        <v>0.8444539996050581</v>
      </c>
      <c r="P235" s="4">
        <f>L235/M235</f>
        <v>0.15554600039494196</v>
      </c>
    </row>
    <row r="236" spans="1:16" ht="12.75">
      <c r="A236" s="59">
        <v>1568</v>
      </c>
      <c r="B236" s="20"/>
      <c r="C236" s="34">
        <v>11703.67</v>
      </c>
      <c r="D236" s="34"/>
      <c r="E236" s="34">
        <v>11703.67</v>
      </c>
      <c r="F236" s="34">
        <v>101697.68849338675</v>
      </c>
      <c r="G236" s="20"/>
      <c r="H236" s="34">
        <v>653.469</v>
      </c>
      <c r="I236" s="34">
        <v>227.0178159382677</v>
      </c>
      <c r="J236" s="39"/>
      <c r="K236" s="36">
        <v>227.0178159382677</v>
      </c>
      <c r="L236" s="34">
        <v>21918.837</v>
      </c>
      <c r="M236" s="34">
        <v>123616.52549338675</v>
      </c>
      <c r="N236" s="36"/>
      <c r="O236" s="4">
        <f>F236/M236</f>
        <v>0.8226868380864448</v>
      </c>
      <c r="P236" s="4">
        <f>L236/M236</f>
        <v>0.17731316191355512</v>
      </c>
    </row>
    <row r="237" spans="1:16" ht="12.75">
      <c r="A237" s="59">
        <v>1569</v>
      </c>
      <c r="B237" s="20"/>
      <c r="C237" s="34">
        <v>12764.065</v>
      </c>
      <c r="D237" s="34"/>
      <c r="E237" s="34">
        <v>12764.065</v>
      </c>
      <c r="F237" s="34">
        <v>110911.86835234937</v>
      </c>
      <c r="G237" s="20"/>
      <c r="H237" s="34">
        <v>606.1320000000001</v>
      </c>
      <c r="I237" s="34">
        <v>212.8132854706903</v>
      </c>
      <c r="J237" s="39"/>
      <c r="K237" s="36">
        <v>212.8132854706903</v>
      </c>
      <c r="L237" s="34">
        <v>20561.775</v>
      </c>
      <c r="M237" s="34">
        <v>131473.64335234938</v>
      </c>
      <c r="N237" s="36"/>
      <c r="O237" s="4">
        <f>F237/M237</f>
        <v>0.8436053457125665</v>
      </c>
      <c r="P237" s="4">
        <f>L237/M237</f>
        <v>0.15639465428743343</v>
      </c>
    </row>
    <row r="238" spans="1:16" ht="12.75">
      <c r="A238" s="59">
        <v>1570</v>
      </c>
      <c r="B238" s="20"/>
      <c r="C238" s="34">
        <v>10240.318</v>
      </c>
      <c r="D238" s="34"/>
      <c r="E238" s="34">
        <v>10240.318</v>
      </c>
      <c r="F238" s="34">
        <v>88982.06033126543</v>
      </c>
      <c r="G238" s="20"/>
      <c r="H238" s="36">
        <v>337.946</v>
      </c>
      <c r="I238" s="34">
        <v>115.62424830325601</v>
      </c>
      <c r="J238" s="34"/>
      <c r="K238" s="34">
        <v>115.62424830325601</v>
      </c>
      <c r="L238" s="34">
        <v>11152.209394755193</v>
      </c>
      <c r="M238" s="34">
        <v>100134.26972602062</v>
      </c>
      <c r="N238" s="36"/>
      <c r="O238" s="4">
        <f>F238/M238</f>
        <v>0.888627445676001</v>
      </c>
      <c r="P238" s="4">
        <f>L238/M238</f>
        <v>0.11137255432399894</v>
      </c>
    </row>
    <row r="239" spans="1:16" ht="12.75">
      <c r="A239" s="59"/>
      <c r="B239" s="20"/>
      <c r="C239" s="36"/>
      <c r="D239" s="36"/>
      <c r="E239" s="36"/>
      <c r="F239" s="36"/>
      <c r="G239" s="20"/>
      <c r="H239" s="36"/>
      <c r="I239" s="36"/>
      <c r="J239" s="36"/>
      <c r="K239" s="36"/>
      <c r="L239" s="36"/>
      <c r="M239" s="36"/>
      <c r="N239" s="36"/>
      <c r="O239" s="4"/>
      <c r="P239" s="4"/>
    </row>
    <row r="240" spans="1:16" ht="12.75">
      <c r="A240" s="59" t="s">
        <v>137</v>
      </c>
      <c r="B240" s="20"/>
      <c r="C240" s="36">
        <f>SUM(C234:C239)/5</f>
        <v>11097.4318</v>
      </c>
      <c r="D240" s="36"/>
      <c r="E240" s="36">
        <f>SUM(E234:E239)/5</f>
        <v>11097.4318</v>
      </c>
      <c r="F240" s="36">
        <f>SUM(F234:F239)/5</f>
        <v>96429.85168524098</v>
      </c>
      <c r="G240" s="20"/>
      <c r="H240" s="36"/>
      <c r="I240" s="36">
        <f>SUM(I234:I239)/5</f>
        <v>236.16042058685903</v>
      </c>
      <c r="J240" s="36">
        <f>SUM(J234:J239)/5</f>
        <v>0</v>
      </c>
      <c r="K240" s="36">
        <v>236.16042058685903</v>
      </c>
      <c r="L240" s="36">
        <f>SUM(L234:L239)/5</f>
        <v>22790.897136213433</v>
      </c>
      <c r="M240" s="36">
        <f>SUM(M234:M239)/5</f>
        <v>119220.74882145443</v>
      </c>
      <c r="N240" s="36"/>
      <c r="O240" s="4">
        <f>F240/M240</f>
        <v>0.808834474187499</v>
      </c>
      <c r="P240" s="4">
        <f>L240/M240</f>
        <v>0.1911655258125009</v>
      </c>
    </row>
    <row r="241" spans="1:16" ht="12.75">
      <c r="A241" s="59"/>
      <c r="B241" s="20"/>
      <c r="C241" s="36"/>
      <c r="D241" s="36"/>
      <c r="E241" s="36"/>
      <c r="F241" s="36"/>
      <c r="G241" s="20"/>
      <c r="H241" s="36"/>
      <c r="I241" s="36"/>
      <c r="J241" s="36"/>
      <c r="K241" s="36"/>
      <c r="L241" s="36"/>
      <c r="M241" s="36"/>
      <c r="N241" s="36"/>
      <c r="O241" s="4"/>
      <c r="P241" s="4"/>
    </row>
    <row r="242" spans="1:16" ht="12.75">
      <c r="A242" s="59">
        <v>1571</v>
      </c>
      <c r="B242" s="20"/>
      <c r="C242" s="34">
        <v>7696.356</v>
      </c>
      <c r="D242" s="34"/>
      <c r="E242" s="34">
        <v>7696.356</v>
      </c>
      <c r="F242" s="34">
        <v>66876.59640285552</v>
      </c>
      <c r="G242" s="20"/>
      <c r="H242" s="36">
        <v>395.324</v>
      </c>
      <c r="I242" s="34">
        <v>135.255456008464</v>
      </c>
      <c r="J242" s="34"/>
      <c r="K242" s="34">
        <v>135.255456008464</v>
      </c>
      <c r="L242" s="34">
        <v>13045.681933717817</v>
      </c>
      <c r="M242" s="34">
        <v>79922.27833657333</v>
      </c>
      <c r="N242" s="36"/>
      <c r="O242" s="4">
        <f>F242/M242</f>
        <v>0.8367703948731405</v>
      </c>
      <c r="P242" s="4">
        <f>L242/M242</f>
        <v>0.16322960512685944</v>
      </c>
    </row>
    <row r="243" spans="1:16" ht="12.75">
      <c r="A243" s="59">
        <v>1572</v>
      </c>
      <c r="B243" s="20"/>
      <c r="C243" s="34">
        <v>7232.253</v>
      </c>
      <c r="D243" s="34"/>
      <c r="E243" s="34">
        <v>7232.253</v>
      </c>
      <c r="F243" s="34">
        <v>62843.82699609283</v>
      </c>
      <c r="G243" s="20"/>
      <c r="H243" s="34">
        <v>253.365</v>
      </c>
      <c r="I243" s="34">
        <v>91.6373808731588</v>
      </c>
      <c r="J243" s="39"/>
      <c r="K243" s="36">
        <v>91.6373808731588</v>
      </c>
      <c r="L243" s="34">
        <v>8870.949</v>
      </c>
      <c r="M243" s="34">
        <v>71714.77599609282</v>
      </c>
      <c r="N243" s="36"/>
      <c r="O243" s="4">
        <f>F243/M243</f>
        <v>0.8763023536393211</v>
      </c>
      <c r="P243" s="4">
        <f>L243/M243</f>
        <v>0.123697646360679</v>
      </c>
    </row>
    <row r="244" spans="1:16" ht="12.75">
      <c r="A244" s="59">
        <v>1573</v>
      </c>
      <c r="B244" s="20"/>
      <c r="C244" s="34">
        <v>12528.565</v>
      </c>
      <c r="D244" s="34"/>
      <c r="E244" s="34">
        <v>12528.565</v>
      </c>
      <c r="F244" s="34">
        <v>108865.51830657803</v>
      </c>
      <c r="G244" s="20"/>
      <c r="H244" s="36">
        <v>380.603</v>
      </c>
      <c r="I244" s="34">
        <v>141.31703554508425</v>
      </c>
      <c r="J244" s="34"/>
      <c r="K244" s="34">
        <v>141.31703554508425</v>
      </c>
      <c r="L244" s="34">
        <v>13701.697427524488</v>
      </c>
      <c r="M244" s="34">
        <v>122567.21573410252</v>
      </c>
      <c r="N244" s="36"/>
      <c r="O244" s="4">
        <f>F244/M244</f>
        <v>0.8882107475032396</v>
      </c>
      <c r="P244" s="4">
        <f>L244/M244</f>
        <v>0.11178925249676039</v>
      </c>
    </row>
    <row r="245" spans="1:16" ht="12.75">
      <c r="A245" s="59">
        <v>1574</v>
      </c>
      <c r="B245" s="20"/>
      <c r="C245" s="34">
        <v>10450.64</v>
      </c>
      <c r="D245" s="34"/>
      <c r="E245" s="34">
        <v>10450.64</v>
      </c>
      <c r="F245" s="34">
        <v>90809.62905452112</v>
      </c>
      <c r="G245" s="20"/>
      <c r="H245" s="36">
        <v>292.55</v>
      </c>
      <c r="I245" s="34">
        <v>108.6231552266125</v>
      </c>
      <c r="J245" s="34"/>
      <c r="K245" s="34">
        <v>108.6231552266125</v>
      </c>
      <c r="L245" s="34">
        <v>10531.791873480473</v>
      </c>
      <c r="M245" s="34">
        <v>101341.4209280016</v>
      </c>
      <c r="N245" s="36"/>
      <c r="O245" s="4">
        <f>F245/M245</f>
        <v>0.8960761377032317</v>
      </c>
      <c r="P245" s="4">
        <f>L245/M245</f>
        <v>0.10392386229676832</v>
      </c>
    </row>
    <row r="246" spans="1:16" ht="12.75">
      <c r="A246" s="59">
        <v>1575</v>
      </c>
      <c r="B246" s="20"/>
      <c r="C246" s="34">
        <v>6123.017</v>
      </c>
      <c r="D246" s="34"/>
      <c r="E246" s="34">
        <v>6123.017</v>
      </c>
      <c r="F246" s="34">
        <v>53205.248909590875</v>
      </c>
      <c r="G246" s="20"/>
      <c r="H246" s="36">
        <v>97.854</v>
      </c>
      <c r="I246" s="34">
        <v>36.332969514766496</v>
      </c>
      <c r="J246" s="34"/>
      <c r="K246" s="34">
        <v>36.332969514766496</v>
      </c>
      <c r="L246" s="34">
        <v>3522.7412817896366</v>
      </c>
      <c r="M246" s="34">
        <v>56727.99019138051</v>
      </c>
      <c r="N246" s="36"/>
      <c r="O246" s="4">
        <f>F246/M246</f>
        <v>0.9379011794723358</v>
      </c>
      <c r="P246" s="4">
        <f>L246/M246</f>
        <v>0.06209882052766426</v>
      </c>
    </row>
    <row r="247" spans="1:16" ht="12.75">
      <c r="A247" s="59"/>
      <c r="B247" s="20"/>
      <c r="C247" s="36"/>
      <c r="D247" s="36"/>
      <c r="E247" s="36"/>
      <c r="F247" s="36"/>
      <c r="G247" s="20"/>
      <c r="H247" s="36"/>
      <c r="I247" s="36"/>
      <c r="J247" s="36"/>
      <c r="K247" s="36"/>
      <c r="L247" s="36"/>
      <c r="M247" s="36"/>
      <c r="N247" s="36"/>
      <c r="O247" s="4"/>
      <c r="P247" s="4"/>
    </row>
    <row r="248" spans="1:16" ht="12.75">
      <c r="A248" s="59" t="s">
        <v>139</v>
      </c>
      <c r="B248" s="20"/>
      <c r="C248" s="36">
        <f>SUM(C242:C247)/5</f>
        <v>8806.1662</v>
      </c>
      <c r="D248" s="36"/>
      <c r="E248" s="36">
        <f>SUM(E242:E247)/5</f>
        <v>8806.1662</v>
      </c>
      <c r="F248" s="36">
        <f>SUM(F242:F247)/5</f>
        <v>76520.16393392769</v>
      </c>
      <c r="G248" s="20"/>
      <c r="H248" s="36"/>
      <c r="I248" s="36">
        <f>SUM(I242:I247)/5</f>
        <v>102.63319943361721</v>
      </c>
      <c r="J248" s="36">
        <f>SUM(J242:J247)/5</f>
        <v>0</v>
      </c>
      <c r="K248" s="36">
        <v>102.63319943361721</v>
      </c>
      <c r="L248" s="36">
        <f>SUM(L242:L247)/5</f>
        <v>9934.572303302484</v>
      </c>
      <c r="M248" s="36">
        <f>SUM(M242:M247)/5</f>
        <v>86454.73623723016</v>
      </c>
      <c r="N248" s="36"/>
      <c r="O248" s="4">
        <f>F248/M248</f>
        <v>0.8850893226249377</v>
      </c>
      <c r="P248" s="4">
        <f>L248/M248</f>
        <v>0.11491067737506255</v>
      </c>
    </row>
    <row r="249" spans="1:16" ht="12.75">
      <c r="A249" s="59"/>
      <c r="B249" s="20"/>
      <c r="C249" s="36"/>
      <c r="D249" s="36"/>
      <c r="E249" s="36"/>
      <c r="F249" s="36"/>
      <c r="G249" s="20"/>
      <c r="H249" s="36"/>
      <c r="I249" s="36"/>
      <c r="J249" s="36"/>
      <c r="K249" s="36"/>
      <c r="L249" s="36"/>
      <c r="M249" s="36"/>
      <c r="N249" s="36"/>
      <c r="O249" s="4"/>
      <c r="P249" s="4"/>
    </row>
    <row r="250" spans="1:16" ht="12.75">
      <c r="A250" s="59">
        <v>1576</v>
      </c>
      <c r="B250" s="20"/>
      <c r="C250" s="34">
        <v>6123.017</v>
      </c>
      <c r="D250" s="34"/>
      <c r="E250" s="34">
        <v>6123.017</v>
      </c>
      <c r="F250" s="34">
        <v>53205.248909590875</v>
      </c>
      <c r="G250" s="20"/>
      <c r="H250" s="36">
        <v>97.854</v>
      </c>
      <c r="I250" s="34">
        <v>36.332969514766496</v>
      </c>
      <c r="J250" s="34"/>
      <c r="K250" s="34">
        <v>36.332969514766496</v>
      </c>
      <c r="L250" s="34">
        <v>3522.7412817896366</v>
      </c>
      <c r="M250" s="34">
        <v>56727.99019138051</v>
      </c>
      <c r="N250" s="36"/>
      <c r="O250" s="4">
        <f>F250/M250</f>
        <v>0.9379011794723358</v>
      </c>
      <c r="P250" s="4">
        <f>L250/M250</f>
        <v>0.06209882052766426</v>
      </c>
    </row>
    <row r="251" spans="1:16" ht="12.75">
      <c r="A251" s="59">
        <v>1577</v>
      </c>
      <c r="B251" s="20"/>
      <c r="C251" s="34">
        <v>6123.017</v>
      </c>
      <c r="D251" s="34"/>
      <c r="E251" s="34">
        <v>6123.017</v>
      </c>
      <c r="F251" s="34">
        <v>53205.248909590875</v>
      </c>
      <c r="G251" s="20"/>
      <c r="H251" s="36">
        <v>97.854</v>
      </c>
      <c r="I251" s="34">
        <v>36.332969514766496</v>
      </c>
      <c r="J251" s="34"/>
      <c r="K251" s="34">
        <v>36.332969514766496</v>
      </c>
      <c r="L251" s="34">
        <v>3522.7412817896366</v>
      </c>
      <c r="M251" s="34">
        <v>56727.99019138051</v>
      </c>
      <c r="N251" s="36"/>
      <c r="O251" s="4">
        <f>F251/M251</f>
        <v>0.9379011794723358</v>
      </c>
      <c r="P251" s="4">
        <f>L251/M251</f>
        <v>0.06209882052766426</v>
      </c>
    </row>
    <row r="252" spans="1:16" ht="12.75">
      <c r="A252" s="59">
        <v>1578</v>
      </c>
      <c r="B252" s="20"/>
      <c r="C252" s="34">
        <v>4814.534</v>
      </c>
      <c r="D252" s="34"/>
      <c r="E252" s="34">
        <v>4814.534</v>
      </c>
      <c r="F252" s="34">
        <v>41835.33703298361</v>
      </c>
      <c r="G252" s="20"/>
      <c r="H252" s="36">
        <v>76.942</v>
      </c>
      <c r="I252" s="34">
        <v>28.568391076554498</v>
      </c>
      <c r="J252" s="34"/>
      <c r="K252" s="34">
        <v>28.568391076554498</v>
      </c>
      <c r="L252" s="34">
        <v>2769.909862687864</v>
      </c>
      <c r="M252" s="34">
        <v>44605.24689567147</v>
      </c>
      <c r="N252" s="36"/>
      <c r="O252" s="4">
        <f>F252/M252</f>
        <v>0.9379017031524007</v>
      </c>
      <c r="P252" s="4">
        <f>L252/M252</f>
        <v>0.062098296847599294</v>
      </c>
    </row>
    <row r="253" spans="1:16" ht="12.75">
      <c r="A253" s="59">
        <v>1579</v>
      </c>
      <c r="B253" s="20"/>
      <c r="C253" s="34">
        <v>12172.249</v>
      </c>
      <c r="D253" s="34"/>
      <c r="E253" s="34">
        <v>12172.249</v>
      </c>
      <c r="F253" s="34">
        <v>106690.64571089359</v>
      </c>
      <c r="G253" s="20"/>
      <c r="H253" s="36">
        <v>343.781</v>
      </c>
      <c r="I253" s="34">
        <v>127.31096048531364</v>
      </c>
      <c r="J253" s="34"/>
      <c r="K253" s="34">
        <v>127.31096048531364</v>
      </c>
      <c r="L253" s="34">
        <v>12408.335894255448</v>
      </c>
      <c r="M253" s="34">
        <v>119098.98160514903</v>
      </c>
      <c r="N253" s="36"/>
      <c r="O253" s="4">
        <f>F253/M253</f>
        <v>0.8958149286667033</v>
      </c>
      <c r="P253" s="4">
        <f>L253/M253</f>
        <v>0.10418507133329674</v>
      </c>
    </row>
    <row r="254" spans="1:16" ht="12.75">
      <c r="A254" s="59">
        <v>1580</v>
      </c>
      <c r="B254" s="20"/>
      <c r="C254" s="34">
        <v>11124.858</v>
      </c>
      <c r="D254" s="34"/>
      <c r="E254" s="34">
        <v>11124.858</v>
      </c>
      <c r="F254" s="34">
        <v>97510.18759655675</v>
      </c>
      <c r="G254" s="20"/>
      <c r="H254" s="36">
        <v>411.634</v>
      </c>
      <c r="I254" s="34">
        <v>152.43867435492825</v>
      </c>
      <c r="J254" s="34"/>
      <c r="K254" s="34">
        <v>152.43867435492825</v>
      </c>
      <c r="L254" s="34">
        <v>14857.403223261166</v>
      </c>
      <c r="M254" s="34">
        <v>112367.59081981791</v>
      </c>
      <c r="N254" s="36"/>
      <c r="O254" s="4">
        <f>F254/M254</f>
        <v>0.8677785728530472</v>
      </c>
      <c r="P254" s="4">
        <f>L254/M254</f>
        <v>0.1322214271469529</v>
      </c>
    </row>
    <row r="255" spans="1:16" ht="12.75">
      <c r="A255" s="59"/>
      <c r="B255" s="20"/>
      <c r="C255" s="36"/>
      <c r="D255" s="36"/>
      <c r="E255" s="36"/>
      <c r="F255" s="36"/>
      <c r="G255" s="20"/>
      <c r="H255" s="36"/>
      <c r="I255" s="36"/>
      <c r="J255" s="36"/>
      <c r="K255" s="36"/>
      <c r="L255" s="36"/>
      <c r="M255" s="36"/>
      <c r="N255" s="36"/>
      <c r="O255" s="4"/>
      <c r="P255" s="4"/>
    </row>
    <row r="256" spans="1:16" ht="12.75">
      <c r="A256" s="59" t="s">
        <v>141</v>
      </c>
      <c r="B256" s="20"/>
      <c r="C256" s="36">
        <f>SUM(C250:C255)/5</f>
        <v>8071.535000000001</v>
      </c>
      <c r="D256" s="36"/>
      <c r="E256" s="36">
        <f>SUM(E250:E255)/5</f>
        <v>8071.535000000001</v>
      </c>
      <c r="F256" s="36">
        <f>SUM(F250:F255)/5</f>
        <v>70489.33363192315</v>
      </c>
      <c r="G256" s="20"/>
      <c r="H256" s="36"/>
      <c r="I256" s="36">
        <f>SUM(I250:I255)/5</f>
        <v>76.19679298926587</v>
      </c>
      <c r="J256" s="36">
        <f>SUM(J250:J255)/5</f>
        <v>0</v>
      </c>
      <c r="K256" s="36">
        <v>76.19679298926587</v>
      </c>
      <c r="L256" s="36">
        <f>SUM(L250:L255)/5</f>
        <v>7416.22630875675</v>
      </c>
      <c r="M256" s="36">
        <f>SUM(M250:M255)/5</f>
        <v>77905.55994067989</v>
      </c>
      <c r="N256" s="36"/>
      <c r="O256" s="4">
        <f>F256/M256</f>
        <v>0.9048049161779502</v>
      </c>
      <c r="P256" s="4">
        <f>L256/M256</f>
        <v>0.09519508382204984</v>
      </c>
    </row>
    <row r="257" spans="1:16" ht="12.75">
      <c r="A257" s="59"/>
      <c r="B257" s="20"/>
      <c r="C257" s="36"/>
      <c r="D257" s="36"/>
      <c r="E257" s="36"/>
      <c r="F257" s="36"/>
      <c r="G257" s="20"/>
      <c r="H257" s="36"/>
      <c r="I257" s="36"/>
      <c r="J257" s="36"/>
      <c r="K257" s="36"/>
      <c r="L257" s="36"/>
      <c r="M257" s="36"/>
      <c r="N257" s="36"/>
      <c r="O257" s="4"/>
      <c r="P257" s="4"/>
    </row>
    <row r="258" spans="1:16" ht="12.75">
      <c r="A258" s="59">
        <v>1581</v>
      </c>
      <c r="B258" s="20"/>
      <c r="C258" s="34">
        <v>10320.323</v>
      </c>
      <c r="D258" s="34"/>
      <c r="E258" s="34">
        <v>10320.323</v>
      </c>
      <c r="F258" s="34">
        <v>90458.37994400102</v>
      </c>
      <c r="G258" s="20"/>
      <c r="H258" s="36">
        <v>585.389</v>
      </c>
      <c r="I258" s="34">
        <v>216.78462697920264</v>
      </c>
      <c r="J258" s="34"/>
      <c r="K258" s="34">
        <v>216.78462697920264</v>
      </c>
      <c r="L258" s="34">
        <v>21128.867915336516</v>
      </c>
      <c r="M258" s="34">
        <v>111587.24785933754</v>
      </c>
      <c r="N258" s="36"/>
      <c r="O258" s="4">
        <f>F258/M258</f>
        <v>0.8106515903862892</v>
      </c>
      <c r="P258" s="4">
        <f>L258/M258</f>
        <v>0.18934840961371077</v>
      </c>
    </row>
    <row r="259" spans="1:16" ht="12.75">
      <c r="A259" s="59">
        <v>1582</v>
      </c>
      <c r="B259" s="20"/>
      <c r="C259" s="34">
        <v>4701.746</v>
      </c>
      <c r="D259" s="34"/>
      <c r="E259" s="34">
        <v>4701.746</v>
      </c>
      <c r="F259" s="34">
        <v>41211.14485158914</v>
      </c>
      <c r="G259" s="20"/>
      <c r="H259" s="36">
        <v>376.438</v>
      </c>
      <c r="I259" s="34">
        <v>139.40468886637277</v>
      </c>
      <c r="J259" s="34"/>
      <c r="K259" s="34">
        <v>139.40468886637277</v>
      </c>
      <c r="L259" s="34">
        <v>13587.048578489597</v>
      </c>
      <c r="M259" s="34">
        <v>54798.19343007874</v>
      </c>
      <c r="N259" s="36"/>
      <c r="O259" s="4">
        <f>F259/M259</f>
        <v>0.7520529833556215</v>
      </c>
      <c r="P259" s="4">
        <f>L259/M259</f>
        <v>0.24794701664437835</v>
      </c>
    </row>
    <row r="260" spans="1:16" ht="12.75">
      <c r="A260" s="59">
        <v>1583</v>
      </c>
      <c r="B260" s="20"/>
      <c r="C260" s="34">
        <v>21267.317</v>
      </c>
      <c r="D260" s="34"/>
      <c r="E260" s="34">
        <v>21267.317</v>
      </c>
      <c r="F260" s="34">
        <v>185325.67</v>
      </c>
      <c r="G260" s="20"/>
      <c r="H260" s="34">
        <v>1531.513</v>
      </c>
      <c r="I260" s="34">
        <v>567.8650426968594</v>
      </c>
      <c r="J260" s="39"/>
      <c r="K260" s="34">
        <v>567.8650426968594</v>
      </c>
      <c r="L260" s="34">
        <v>55205.878875</v>
      </c>
      <c r="M260" s="34">
        <v>240531.548875</v>
      </c>
      <c r="N260" s="36"/>
      <c r="O260" s="4">
        <f>F260/M260</f>
        <v>0.7704838341032364</v>
      </c>
      <c r="P260" s="4">
        <f>L260/M260</f>
        <v>0.2295161658967636</v>
      </c>
    </row>
    <row r="261" spans="1:16" ht="12.75">
      <c r="A261" s="59">
        <v>1584</v>
      </c>
      <c r="B261" s="20"/>
      <c r="C261" s="34">
        <v>23265.339</v>
      </c>
      <c r="D261" s="34"/>
      <c r="E261" s="34">
        <v>23265.339</v>
      </c>
      <c r="F261" s="34">
        <v>202161.47570078805</v>
      </c>
      <c r="G261" s="20"/>
      <c r="H261" s="36">
        <v>1085.019</v>
      </c>
      <c r="I261" s="34">
        <v>402.86510771090025</v>
      </c>
      <c r="J261" s="34"/>
      <c r="K261" s="34">
        <v>402.86510771090025</v>
      </c>
      <c r="L261" s="34">
        <v>39060.65386009882</v>
      </c>
      <c r="M261" s="34">
        <v>241222.12956088688</v>
      </c>
      <c r="N261" s="36"/>
      <c r="O261" s="4">
        <f>F261/M261</f>
        <v>0.838071847175864</v>
      </c>
      <c r="P261" s="4">
        <f>L261/M261</f>
        <v>0.16192815282413597</v>
      </c>
    </row>
    <row r="262" spans="1:16" ht="12.75">
      <c r="A262" s="59">
        <v>1585</v>
      </c>
      <c r="B262" s="20"/>
      <c r="C262" s="34">
        <v>20726.845</v>
      </c>
      <c r="D262" s="34"/>
      <c r="E262" s="34">
        <v>20726.845</v>
      </c>
      <c r="F262" s="34">
        <v>180103.5253267318</v>
      </c>
      <c r="G262" s="20"/>
      <c r="H262" s="36">
        <v>968.682</v>
      </c>
      <c r="I262" s="34">
        <v>359.6694419799195</v>
      </c>
      <c r="J262" s="34"/>
      <c r="K262" s="34">
        <v>359.6694419799195</v>
      </c>
      <c r="L262" s="34">
        <v>34872.5250917341</v>
      </c>
      <c r="M262" s="34">
        <v>214976.0504184659</v>
      </c>
      <c r="N262" s="36"/>
      <c r="O262" s="4">
        <f>F262/M262</f>
        <v>0.8377841390989726</v>
      </c>
      <c r="P262" s="4">
        <f>L262/M262</f>
        <v>0.16221586090102735</v>
      </c>
    </row>
    <row r="263" spans="1:16" ht="12.75">
      <c r="A263" s="59"/>
      <c r="B263" s="20"/>
      <c r="C263" s="36"/>
      <c r="D263" s="36"/>
      <c r="E263" s="36"/>
      <c r="F263" s="36"/>
      <c r="G263" s="20"/>
      <c r="H263" s="36"/>
      <c r="I263" s="36"/>
      <c r="J263" s="36"/>
      <c r="K263" s="36"/>
      <c r="L263" s="36"/>
      <c r="M263" s="36"/>
      <c r="N263" s="36"/>
      <c r="O263" s="4"/>
      <c r="P263" s="4"/>
    </row>
    <row r="264" spans="1:16" ht="12.75">
      <c r="A264" s="59" t="s">
        <v>145</v>
      </c>
      <c r="B264" s="20"/>
      <c r="C264" s="36">
        <f>SUM(C258:C263)/5</f>
        <v>16056.314000000002</v>
      </c>
      <c r="D264" s="36"/>
      <c r="E264" s="36">
        <f>SUM(E258:E263)/5</f>
        <v>16056.314000000002</v>
      </c>
      <c r="F264" s="36">
        <f>SUM(F258:F263)/5</f>
        <v>139852.039164622</v>
      </c>
      <c r="G264" s="20"/>
      <c r="H264" s="36"/>
      <c r="I264" s="36">
        <f>SUM(I258:I263)/5</f>
        <v>337.31778164665093</v>
      </c>
      <c r="J264" s="36">
        <f>SUM(J258:J263)/5</f>
        <v>0</v>
      </c>
      <c r="K264" s="36">
        <v>337.31778164665093</v>
      </c>
      <c r="L264" s="36">
        <f>SUM(L258:L263)/5</f>
        <v>32770.994864131804</v>
      </c>
      <c r="M264" s="36">
        <f>SUM(M258:M263)/5</f>
        <v>172623.0340287538</v>
      </c>
      <c r="N264" s="36"/>
      <c r="O264" s="4">
        <f>F264/M264</f>
        <v>0.810158620785954</v>
      </c>
      <c r="P264" s="4">
        <f>L264/M264</f>
        <v>0.18984137921404592</v>
      </c>
    </row>
    <row r="265" spans="1:16" ht="12.75">
      <c r="A265" s="59"/>
      <c r="B265" s="20"/>
      <c r="C265" s="36"/>
      <c r="D265" s="36"/>
      <c r="E265" s="36"/>
      <c r="F265" s="36"/>
      <c r="G265" s="20"/>
      <c r="H265" s="36"/>
      <c r="I265" s="36"/>
      <c r="J265" s="36"/>
      <c r="K265" s="36"/>
      <c r="L265" s="36"/>
      <c r="M265" s="36"/>
      <c r="N265" s="36"/>
      <c r="O265" s="4"/>
      <c r="P265" s="4"/>
    </row>
    <row r="266" spans="1:16" ht="12.75">
      <c r="A266" s="59">
        <v>1586</v>
      </c>
      <c r="B266" s="20"/>
      <c r="C266" s="34">
        <v>11085.608</v>
      </c>
      <c r="D266" s="34"/>
      <c r="E266" s="34">
        <v>11085.608</v>
      </c>
      <c r="F266" s="34">
        <v>96327.11014098964</v>
      </c>
      <c r="G266" s="20"/>
      <c r="H266" s="36">
        <v>691.114</v>
      </c>
      <c r="I266" s="34">
        <v>256.6090695651515</v>
      </c>
      <c r="J266" s="34"/>
      <c r="K266" s="34">
        <v>256.6090695651515</v>
      </c>
      <c r="L266" s="34">
        <v>24880.084802080277</v>
      </c>
      <c r="M266" s="34">
        <v>121207.19494306992</v>
      </c>
      <c r="N266" s="36"/>
      <c r="O266" s="4">
        <f>F266/M266</f>
        <v>0.7947309578959709</v>
      </c>
      <c r="P266" s="4">
        <f>L266/M266</f>
        <v>0.20526904210402905</v>
      </c>
    </row>
    <row r="267" spans="1:16" ht="12.75">
      <c r="A267" s="59">
        <v>1587</v>
      </c>
      <c r="B267" s="20"/>
      <c r="C267" s="34">
        <v>5782.155</v>
      </c>
      <c r="D267" s="34"/>
      <c r="E267" s="34">
        <v>5782.155</v>
      </c>
      <c r="F267" s="34">
        <v>50243.36793591059</v>
      </c>
      <c r="G267" s="20"/>
      <c r="H267" s="36">
        <v>337.689</v>
      </c>
      <c r="I267" s="34">
        <v>125.38316412688276</v>
      </c>
      <c r="J267" s="34"/>
      <c r="K267" s="34">
        <v>125.38316412688276</v>
      </c>
      <c r="L267" s="34">
        <v>12156.794619599208</v>
      </c>
      <c r="M267" s="34">
        <v>62400.1625555098</v>
      </c>
      <c r="N267" s="36"/>
      <c r="O267" s="4">
        <f>F267/M267</f>
        <v>0.805180080920706</v>
      </c>
      <c r="P267" s="4">
        <f>L267/M267</f>
        <v>0.19481991907929397</v>
      </c>
    </row>
    <row r="268" spans="1:16" ht="12.75">
      <c r="A268" s="59">
        <v>1588</v>
      </c>
      <c r="B268" s="20"/>
      <c r="C268" s="34">
        <v>4373.301</v>
      </c>
      <c r="D268" s="34"/>
      <c r="E268" s="34">
        <v>4373.301</v>
      </c>
      <c r="F268" s="34">
        <v>38001.293849349546</v>
      </c>
      <c r="G268" s="20"/>
      <c r="H268" s="36">
        <v>532.405</v>
      </c>
      <c r="I268" s="34">
        <v>197.68077579362375</v>
      </c>
      <c r="J268" s="34"/>
      <c r="K268" s="34">
        <v>197.68077579362375</v>
      </c>
      <c r="L268" s="34">
        <v>19166.56521073448</v>
      </c>
      <c r="M268" s="34">
        <v>57167.859060084025</v>
      </c>
      <c r="N268" s="36"/>
      <c r="O268" s="4">
        <f>F268/M268</f>
        <v>0.6647317998984321</v>
      </c>
      <c r="P268" s="4">
        <f>L268/M268</f>
        <v>0.3352682001015678</v>
      </c>
    </row>
    <row r="269" spans="1:16" ht="12.75">
      <c r="A269" s="59">
        <v>1589</v>
      </c>
      <c r="B269" s="20"/>
      <c r="C269" s="34">
        <v>4445.923</v>
      </c>
      <c r="D269" s="34"/>
      <c r="E269" s="34">
        <v>4445.923</v>
      </c>
      <c r="F269" s="34">
        <v>38632.33432928163</v>
      </c>
      <c r="G269" s="20"/>
      <c r="H269" s="36">
        <v>542.738</v>
      </c>
      <c r="I269" s="34">
        <v>201.5173953901255</v>
      </c>
      <c r="J269" s="34"/>
      <c r="K269" s="34">
        <v>201.5173953901255</v>
      </c>
      <c r="L269" s="34">
        <v>19538.552923702086</v>
      </c>
      <c r="M269" s="34">
        <v>58170.88725298371</v>
      </c>
      <c r="N269" s="36"/>
      <c r="O269" s="4">
        <f>F269/M269</f>
        <v>0.6641180176824635</v>
      </c>
      <c r="P269" s="4">
        <f>L269/M269</f>
        <v>0.3358819823175365</v>
      </c>
    </row>
    <row r="270" spans="1:16" ht="12.75">
      <c r="A270" s="59">
        <v>1590</v>
      </c>
      <c r="B270" s="20"/>
      <c r="C270" s="34">
        <v>6339.76</v>
      </c>
      <c r="D270" s="34"/>
      <c r="E270" s="34">
        <v>6339.76</v>
      </c>
      <c r="F270" s="34">
        <v>55088.61217061261</v>
      </c>
      <c r="G270" s="20"/>
      <c r="H270" s="36">
        <v>390.088</v>
      </c>
      <c r="I270" s="34">
        <v>144.838794654038</v>
      </c>
      <c r="J270" s="34"/>
      <c r="K270" s="34">
        <v>144.838794654038</v>
      </c>
      <c r="L270" s="34">
        <v>14043.157164048029</v>
      </c>
      <c r="M270" s="34">
        <v>69131.76933466064</v>
      </c>
      <c r="N270" s="36"/>
      <c r="O270" s="4">
        <f>F270/M270</f>
        <v>0.7968639122186157</v>
      </c>
      <c r="P270" s="4">
        <f>L270/M270</f>
        <v>0.2031360877813842</v>
      </c>
    </row>
    <row r="271" spans="1:16" ht="12.75">
      <c r="A271" s="59"/>
      <c r="B271" s="20"/>
      <c r="C271" s="36"/>
      <c r="D271" s="36"/>
      <c r="E271" s="36"/>
      <c r="F271" s="36"/>
      <c r="G271" s="20"/>
      <c r="H271" s="36"/>
      <c r="I271" s="36"/>
      <c r="J271" s="36"/>
      <c r="K271" s="36"/>
      <c r="L271" s="36"/>
      <c r="M271" s="36"/>
      <c r="N271" s="36"/>
      <c r="O271" s="4"/>
      <c r="P271" s="4"/>
    </row>
    <row r="272" spans="1:16" ht="12.75">
      <c r="A272" s="59" t="s">
        <v>147</v>
      </c>
      <c r="B272" s="20"/>
      <c r="C272" s="36">
        <f>SUM(C266:C271)/5</f>
        <v>6405.349399999999</v>
      </c>
      <c r="D272" s="36"/>
      <c r="E272" s="36">
        <f>SUM(E266:E271)/5</f>
        <v>6405.349399999999</v>
      </c>
      <c r="F272" s="36">
        <f>SUM(F266:F271)/5</f>
        <v>55658.54368522881</v>
      </c>
      <c r="G272" s="20"/>
      <c r="H272" s="36"/>
      <c r="I272" s="36">
        <f>SUM(I266:I271)/5</f>
        <v>185.2058399059643</v>
      </c>
      <c r="J272" s="36">
        <f>SUM(J266:J271)/5</f>
        <v>0</v>
      </c>
      <c r="K272" s="36">
        <v>185.2058399059643</v>
      </c>
      <c r="L272" s="36">
        <f>SUM(L266:L271)/5</f>
        <v>17957.030944032816</v>
      </c>
      <c r="M272" s="36">
        <f>SUM(M266:M271)/5</f>
        <v>73615.57462926162</v>
      </c>
      <c r="N272" s="36"/>
      <c r="O272" s="4">
        <f>F272/M272</f>
        <v>0.7560702197263698</v>
      </c>
      <c r="P272" s="4">
        <f>L272/M272</f>
        <v>0.24392978027363024</v>
      </c>
    </row>
    <row r="273" spans="1:16" ht="12.75">
      <c r="A273" s="59"/>
      <c r="B273" s="20"/>
      <c r="C273" s="36"/>
      <c r="D273" s="36"/>
      <c r="E273" s="36"/>
      <c r="F273" s="36"/>
      <c r="G273" s="20"/>
      <c r="H273" s="36"/>
      <c r="I273" s="36"/>
      <c r="J273" s="36"/>
      <c r="K273" s="36"/>
      <c r="L273" s="36"/>
      <c r="M273" s="36"/>
      <c r="N273" s="36"/>
      <c r="O273" s="4"/>
      <c r="P273" s="4"/>
    </row>
    <row r="274" spans="1:16" ht="12.75">
      <c r="A274" s="59">
        <v>1591</v>
      </c>
      <c r="B274" s="20"/>
      <c r="C274" s="34">
        <v>10150.551</v>
      </c>
      <c r="D274" s="34"/>
      <c r="E274" s="34">
        <v>10150.551</v>
      </c>
      <c r="F274" s="34">
        <v>88202.0403543705</v>
      </c>
      <c r="G274" s="20"/>
      <c r="H274" s="36">
        <v>635.246</v>
      </c>
      <c r="I274" s="34">
        <v>235.86540716145848</v>
      </c>
      <c r="J274" s="34"/>
      <c r="K274" s="34">
        <v>235.86540716145848</v>
      </c>
      <c r="L274" s="34">
        <v>22868.83835399411</v>
      </c>
      <c r="M274" s="34">
        <v>111070.87870836462</v>
      </c>
      <c r="N274" s="36"/>
      <c r="O274" s="4">
        <f>F274/M274</f>
        <v>0.7941059022856917</v>
      </c>
      <c r="P274" s="4">
        <f>L274/M274</f>
        <v>0.2058940977143083</v>
      </c>
    </row>
    <row r="275" spans="1:16" ht="12.75">
      <c r="A275" s="59">
        <v>1592</v>
      </c>
      <c r="B275" s="20"/>
      <c r="C275" s="34">
        <v>18243.882</v>
      </c>
      <c r="D275" s="34"/>
      <c r="E275" s="34">
        <v>18243.882</v>
      </c>
      <c r="F275" s="34">
        <v>158528.10516240684</v>
      </c>
      <c r="G275" s="20"/>
      <c r="H275" s="36">
        <v>536.545</v>
      </c>
      <c r="I275" s="34">
        <v>199.21794845688873</v>
      </c>
      <c r="J275" s="34"/>
      <c r="K275" s="34">
        <v>199.21794845688873</v>
      </c>
      <c r="L275" s="34">
        <v>19315.60509573263</v>
      </c>
      <c r="M275" s="34">
        <v>177843.71025813947</v>
      </c>
      <c r="N275" s="36"/>
      <c r="O275" s="4">
        <f>F275/M275</f>
        <v>0.8913900015485726</v>
      </c>
      <c r="P275" s="4">
        <f>L275/M275</f>
        <v>0.1086099984514274</v>
      </c>
    </row>
    <row r="276" spans="1:16" ht="12.75">
      <c r="A276" s="59">
        <v>1593</v>
      </c>
      <c r="B276" s="20"/>
      <c r="C276" s="34">
        <v>21624.115</v>
      </c>
      <c r="D276" s="34"/>
      <c r="E276" s="34">
        <v>21624.115</v>
      </c>
      <c r="F276" s="34">
        <v>187900.2493418878</v>
      </c>
      <c r="G276" s="20"/>
      <c r="H276" s="36">
        <v>410.639</v>
      </c>
      <c r="I276" s="34">
        <v>152.46933460639525</v>
      </c>
      <c r="J276" s="34"/>
      <c r="K276" s="34">
        <v>152.46933460639525</v>
      </c>
      <c r="L276" s="34">
        <v>14782.992593177742</v>
      </c>
      <c r="M276" s="34">
        <v>202683.24193506554</v>
      </c>
      <c r="N276" s="36"/>
      <c r="O276" s="4">
        <f>F276/M276</f>
        <v>0.9270635675054288</v>
      </c>
      <c r="P276" s="4">
        <f>L276/M276</f>
        <v>0.07293643249457116</v>
      </c>
    </row>
    <row r="277" spans="1:16" ht="12.75">
      <c r="A277" s="59">
        <v>1594</v>
      </c>
      <c r="B277" s="20"/>
      <c r="C277" s="34">
        <v>21624.15</v>
      </c>
      <c r="D277" s="34"/>
      <c r="E277" s="34">
        <v>21624.15</v>
      </c>
      <c r="F277" s="34">
        <v>187900.55347034472</v>
      </c>
      <c r="G277" s="20"/>
      <c r="H277" s="36">
        <v>410.639</v>
      </c>
      <c r="I277" s="34">
        <v>152.46933460639525</v>
      </c>
      <c r="J277" s="34"/>
      <c r="K277" s="34">
        <v>152.46933460639525</v>
      </c>
      <c r="L277" s="34">
        <v>14782.992593177742</v>
      </c>
      <c r="M277" s="34">
        <v>202683.54606352246</v>
      </c>
      <c r="N277" s="36"/>
      <c r="O277" s="4">
        <f>F277/M277</f>
        <v>0.9270636769471922</v>
      </c>
      <c r="P277" s="4">
        <f>L277/M277</f>
        <v>0.07293632305280788</v>
      </c>
    </row>
    <row r="278" spans="1:16" ht="12.75">
      <c r="A278" s="59">
        <v>1595</v>
      </c>
      <c r="B278" s="20"/>
      <c r="C278" s="34">
        <v>21624.115</v>
      </c>
      <c r="D278" s="34"/>
      <c r="E278" s="34">
        <v>21624.115</v>
      </c>
      <c r="F278" s="34">
        <v>187900.2493418878</v>
      </c>
      <c r="G278" s="20"/>
      <c r="H278" s="36">
        <v>410.639</v>
      </c>
      <c r="I278" s="34">
        <v>152.46933460639525</v>
      </c>
      <c r="J278" s="34"/>
      <c r="K278" s="34">
        <v>152.46933460639525</v>
      </c>
      <c r="L278" s="34">
        <v>14782.992593177742</v>
      </c>
      <c r="M278" s="34">
        <v>202683.24193506554</v>
      </c>
      <c r="N278" s="36"/>
      <c r="O278" s="4">
        <f>F278/M278</f>
        <v>0.9270635675054288</v>
      </c>
      <c r="P278" s="4">
        <f>L278/M278</f>
        <v>0.07293643249457116</v>
      </c>
    </row>
    <row r="279" spans="1:16" ht="12.75">
      <c r="A279" s="59"/>
      <c r="B279" s="20"/>
      <c r="C279" s="36"/>
      <c r="D279" s="36"/>
      <c r="E279" s="36"/>
      <c r="F279" s="36"/>
      <c r="G279" s="20"/>
      <c r="H279" s="36"/>
      <c r="I279" s="36"/>
      <c r="J279" s="36"/>
      <c r="K279" s="36"/>
      <c r="L279" s="36"/>
      <c r="M279" s="36"/>
      <c r="N279" s="36"/>
      <c r="O279" s="4"/>
      <c r="P279" s="4"/>
    </row>
    <row r="280" spans="1:16" ht="12.75">
      <c r="A280" s="59" t="s">
        <v>149</v>
      </c>
      <c r="B280" s="20"/>
      <c r="C280" s="36">
        <f>SUM(C274:C279)/5</f>
        <v>18653.3626</v>
      </c>
      <c r="D280" s="36"/>
      <c r="E280" s="36">
        <f>SUM(E274:E279)/5</f>
        <v>18653.3626</v>
      </c>
      <c r="F280" s="36">
        <f>SUM(F274:F279)/5</f>
        <v>162086.23953417953</v>
      </c>
      <c r="G280" s="20"/>
      <c r="H280" s="36"/>
      <c r="I280" s="36">
        <f>SUM(I274:I279)/5</f>
        <v>178.4982718875066</v>
      </c>
      <c r="J280" s="36">
        <f>SUM(J274:J279)/5</f>
        <v>0</v>
      </c>
      <c r="K280" s="36">
        <v>178.4982718875066</v>
      </c>
      <c r="L280" s="36">
        <f>SUM(L274:L279)/5</f>
        <v>17306.68424585199</v>
      </c>
      <c r="M280" s="36">
        <f>SUM(M274:M279)/5</f>
        <v>179392.9237800315</v>
      </c>
      <c r="N280" s="36"/>
      <c r="O280" s="4">
        <f>F280/M280</f>
        <v>0.9035263828629432</v>
      </c>
      <c r="P280" s="4">
        <f>L280/M280</f>
        <v>0.0964736171370569</v>
      </c>
    </row>
    <row r="281" spans="1:16" ht="12.75">
      <c r="A281" s="59"/>
      <c r="B281" s="20"/>
      <c r="C281" s="36"/>
      <c r="D281" s="36"/>
      <c r="E281" s="36"/>
      <c r="F281" s="36"/>
      <c r="G281" s="20"/>
      <c r="H281" s="36"/>
      <c r="I281" s="36"/>
      <c r="J281" s="36"/>
      <c r="K281" s="36"/>
      <c r="L281" s="36"/>
      <c r="M281" s="36"/>
      <c r="N281" s="36"/>
      <c r="O281" s="4"/>
      <c r="P281" s="4"/>
    </row>
    <row r="282" spans="1:16" ht="12.75">
      <c r="A282" s="59">
        <v>1596</v>
      </c>
      <c r="B282" s="20"/>
      <c r="C282" s="34">
        <v>21624.115</v>
      </c>
      <c r="D282" s="34"/>
      <c r="E282" s="34">
        <v>21624.115</v>
      </c>
      <c r="F282" s="34">
        <v>187900.2493418878</v>
      </c>
      <c r="G282" s="20"/>
      <c r="H282" s="36">
        <v>410.639</v>
      </c>
      <c r="I282" s="34">
        <v>152.46933460639525</v>
      </c>
      <c r="J282" s="34"/>
      <c r="K282" s="34">
        <v>152.46933460639525</v>
      </c>
      <c r="L282" s="34">
        <v>14782.992593177742</v>
      </c>
      <c r="M282" s="34">
        <v>202683.24193506554</v>
      </c>
      <c r="N282" s="36"/>
      <c r="O282" s="4">
        <f>F282/M282</f>
        <v>0.9270635675054288</v>
      </c>
      <c r="P282" s="4">
        <f>L282/M282</f>
        <v>0.07293643249457116</v>
      </c>
    </row>
    <row r="283" spans="1:16" ht="12.75">
      <c r="A283" s="59">
        <v>1597</v>
      </c>
      <c r="B283" s="20"/>
      <c r="C283" s="34">
        <v>8988.734</v>
      </c>
      <c r="D283" s="34"/>
      <c r="E283" s="34">
        <v>8988.734</v>
      </c>
      <c r="F283" s="34">
        <v>78106.56574236238</v>
      </c>
      <c r="G283" s="20"/>
      <c r="H283" s="34">
        <v>291.577</v>
      </c>
      <c r="I283" s="34">
        <v>106.65669694226047</v>
      </c>
      <c r="J283" s="39"/>
      <c r="K283" s="34">
        <v>106.65669694226047</v>
      </c>
      <c r="L283" s="34">
        <v>10332.294</v>
      </c>
      <c r="M283" s="34">
        <v>88438.85974236237</v>
      </c>
      <c r="N283" s="36"/>
      <c r="O283" s="4">
        <f>F283/M283</f>
        <v>0.8831702033461337</v>
      </c>
      <c r="P283" s="4">
        <f>L283/M283</f>
        <v>0.11682979665386632</v>
      </c>
    </row>
    <row r="284" spans="1:16" ht="12.75">
      <c r="A284" s="59">
        <v>1598</v>
      </c>
      <c r="B284" s="20"/>
      <c r="C284" s="34">
        <v>2487.543</v>
      </c>
      <c r="D284" s="34"/>
      <c r="E284" s="34">
        <v>2487.543</v>
      </c>
      <c r="F284" s="34">
        <v>21615.21754525758</v>
      </c>
      <c r="G284" s="20"/>
      <c r="H284" s="34">
        <v>230.31799999999998</v>
      </c>
      <c r="I284" s="34">
        <v>83.09125900114684</v>
      </c>
      <c r="J284" s="39"/>
      <c r="K284" s="34">
        <v>83.09125900114684</v>
      </c>
      <c r="L284" s="34">
        <v>8042.342999999999</v>
      </c>
      <c r="M284" s="34">
        <v>29657.560545257576</v>
      </c>
      <c r="N284" s="36"/>
      <c r="O284" s="4">
        <f>F284/M284</f>
        <v>0.7288265503925266</v>
      </c>
      <c r="P284" s="4">
        <f>L284/M284</f>
        <v>0.27117344960747347</v>
      </c>
    </row>
    <row r="285" spans="1:16" ht="12.75">
      <c r="A285" s="59">
        <v>1599</v>
      </c>
      <c r="B285" s="20"/>
      <c r="C285" s="34">
        <v>2487.543</v>
      </c>
      <c r="D285" s="34"/>
      <c r="E285" s="34">
        <v>2487.543</v>
      </c>
      <c r="F285" s="34">
        <v>21615.21754525758</v>
      </c>
      <c r="G285" s="20"/>
      <c r="H285" s="34">
        <v>230.31799999999998</v>
      </c>
      <c r="I285" s="34">
        <v>83.09125900114684</v>
      </c>
      <c r="J285" s="39"/>
      <c r="K285" s="34">
        <v>83.09125900114684</v>
      </c>
      <c r="L285" s="34">
        <v>8042.342999999999</v>
      </c>
      <c r="M285" s="34">
        <v>29657.560545257576</v>
      </c>
      <c r="N285" s="36"/>
      <c r="O285" s="4">
        <f>F285/M285</f>
        <v>0.7288265503925266</v>
      </c>
      <c r="P285" s="4">
        <f>L285/M285</f>
        <v>0.27117344960747347</v>
      </c>
    </row>
    <row r="286" spans="1:16" ht="12.75">
      <c r="A286" s="59">
        <v>1600</v>
      </c>
      <c r="B286" s="20"/>
      <c r="C286" s="34">
        <v>1720.513430125</v>
      </c>
      <c r="D286" s="34"/>
      <c r="E286" s="34">
        <v>1720.513430125</v>
      </c>
      <c r="F286" s="34">
        <v>14950.202702702707</v>
      </c>
      <c r="G286" s="20"/>
      <c r="H286" s="36">
        <v>670.828523238379</v>
      </c>
      <c r="I286" s="36">
        <v>232.87472026732937</v>
      </c>
      <c r="J286" s="34"/>
      <c r="K286" s="34">
        <v>232.87472026732937</v>
      </c>
      <c r="L286" s="36">
        <v>22482.866941529235</v>
      </c>
      <c r="M286" s="34">
        <v>37433.069644231946</v>
      </c>
      <c r="N286" s="36"/>
      <c r="O286" s="4">
        <f>F286/M286</f>
        <v>0.39938489802709465</v>
      </c>
      <c r="P286" s="4">
        <f>L286/M286</f>
        <v>0.6006151019729052</v>
      </c>
    </row>
    <row r="287" spans="1:16" ht="12.75">
      <c r="A287" s="59"/>
      <c r="B287" s="20"/>
      <c r="C287" s="36"/>
      <c r="D287" s="36"/>
      <c r="E287" s="36"/>
      <c r="F287" s="36"/>
      <c r="G287" s="20"/>
      <c r="H287" s="36"/>
      <c r="I287" s="36"/>
      <c r="J287" s="36"/>
      <c r="K287" s="36"/>
      <c r="L287" s="36"/>
      <c r="M287" s="36"/>
      <c r="N287" s="36"/>
      <c r="O287" s="4"/>
      <c r="P287" s="4"/>
    </row>
    <row r="288" spans="1:16" ht="12.75">
      <c r="A288" s="59" t="s">
        <v>151</v>
      </c>
      <c r="B288" s="20"/>
      <c r="C288" s="36">
        <f>SUM(C282:C287)/5</f>
        <v>7461.689686025</v>
      </c>
      <c r="D288" s="36"/>
      <c r="E288" s="36">
        <f>SUM(E282:E287)/5</f>
        <v>7461.689686025</v>
      </c>
      <c r="F288" s="36">
        <f>SUM(F282:F287)/5</f>
        <v>64837.49057549362</v>
      </c>
      <c r="G288" s="20"/>
      <c r="H288" s="36"/>
      <c r="I288" s="36">
        <f>SUM(I282:I287)/5</f>
        <v>131.63665396365576</v>
      </c>
      <c r="J288" s="36">
        <f>SUM(J282:J287)/5</f>
        <v>0</v>
      </c>
      <c r="K288" s="36">
        <v>131.63665396365576</v>
      </c>
      <c r="L288" s="36">
        <f>SUM(L282:L287)/5</f>
        <v>12736.567906941395</v>
      </c>
      <c r="M288" s="36">
        <f>SUM(M282:M287)/5</f>
        <v>77574.058482435</v>
      </c>
      <c r="N288" s="36"/>
      <c r="O288" s="4">
        <f>F288/M288</f>
        <v>0.8358140832630885</v>
      </c>
      <c r="P288" s="4">
        <f>L288/M288</f>
        <v>0.16418591673691174</v>
      </c>
    </row>
    <row r="289" spans="1:16" ht="12.75">
      <c r="A289" s="59"/>
      <c r="B289" s="20"/>
      <c r="C289" s="36"/>
      <c r="D289" s="36"/>
      <c r="E289" s="36"/>
      <c r="F289" s="36"/>
      <c r="G289" s="20"/>
      <c r="H289" s="36"/>
      <c r="I289" s="36"/>
      <c r="J289" s="36"/>
      <c r="K289" s="36"/>
      <c r="L289" s="36"/>
      <c r="M289" s="36"/>
      <c r="N289" s="36"/>
      <c r="O289" s="8"/>
      <c r="P289" s="8"/>
    </row>
    <row r="290" spans="3:14" ht="12.75">
      <c r="C290" s="34"/>
      <c r="K290" s="34"/>
      <c r="N290" s="20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6"/>
  </sheetPr>
  <dimension ref="A1:I43"/>
  <sheetViews>
    <sheetView defaultGridColor="0" zoomScale="90" zoomScaleNormal="9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cols>
    <col min="1" max="1" width="8.140625" style="53" customWidth="1"/>
    <col min="2" max="2" width="11.421875" style="0" customWidth="1"/>
    <col min="3" max="3" width="12.421875" style="0" customWidth="1"/>
    <col min="4" max="4" width="10.140625" style="0" customWidth="1"/>
    <col min="5" max="6" width="12.421875" style="0" customWidth="1"/>
    <col min="8" max="9" width="7.7109375" style="4" customWidth="1"/>
  </cols>
  <sheetData>
    <row r="1" spans="1:9" ht="12.75">
      <c r="A1" s="54" t="s">
        <v>290</v>
      </c>
      <c r="B1" s="35" t="s">
        <v>2</v>
      </c>
      <c r="C1" s="34"/>
      <c r="D1" s="34"/>
      <c r="E1" s="34"/>
      <c r="F1" s="34"/>
      <c r="G1" s="34"/>
      <c r="H1" s="4"/>
      <c r="I1" s="8"/>
    </row>
    <row r="2" spans="1:9" ht="12.75">
      <c r="A2" s="53"/>
      <c r="B2" s="37" t="s">
        <v>225</v>
      </c>
      <c r="C2" s="34"/>
      <c r="D2" s="34"/>
      <c r="E2" s="34"/>
      <c r="F2" s="34"/>
      <c r="G2" s="34"/>
      <c r="H2" s="4"/>
      <c r="I2" s="8"/>
    </row>
    <row r="3" spans="1:9" ht="12.75">
      <c r="A3" s="53"/>
      <c r="H3" s="4"/>
      <c r="I3" s="4"/>
    </row>
    <row r="4" spans="1:9" ht="12.75">
      <c r="A4" s="55"/>
      <c r="B4" s="37" t="s">
        <v>283</v>
      </c>
      <c r="C4" s="37" t="s">
        <v>283</v>
      </c>
      <c r="D4" s="35" t="s">
        <v>200</v>
      </c>
      <c r="E4" s="35" t="s">
        <v>200</v>
      </c>
      <c r="F4" s="35" t="s">
        <v>297</v>
      </c>
      <c r="G4" s="35"/>
      <c r="H4" s="5" t="s">
        <v>266</v>
      </c>
      <c r="I4" s="5" t="s">
        <v>266</v>
      </c>
    </row>
    <row r="5" spans="1:9" ht="12.75">
      <c r="A5" s="55" t="s">
        <v>317</v>
      </c>
      <c r="B5" s="35" t="s">
        <v>296</v>
      </c>
      <c r="C5" s="35" t="s">
        <v>307</v>
      </c>
      <c r="D5" s="35" t="s">
        <v>296</v>
      </c>
      <c r="E5" s="35" t="s">
        <v>307</v>
      </c>
      <c r="F5" s="35" t="s">
        <v>312</v>
      </c>
      <c r="G5" s="35"/>
      <c r="H5" s="5" t="s">
        <v>282</v>
      </c>
      <c r="I5" s="5" t="s">
        <v>198</v>
      </c>
    </row>
    <row r="6" spans="1:9" ht="12.75">
      <c r="A6" s="55"/>
      <c r="B6" s="35" t="s">
        <v>239</v>
      </c>
      <c r="C6" s="35" t="s">
        <v>8</v>
      </c>
      <c r="D6" s="35" t="s">
        <v>239</v>
      </c>
      <c r="E6" s="35" t="s">
        <v>8</v>
      </c>
      <c r="F6" s="35" t="s">
        <v>4</v>
      </c>
      <c r="G6" s="35"/>
      <c r="H6" s="4"/>
      <c r="I6" s="4"/>
    </row>
    <row r="7" spans="1:9" ht="12.75">
      <c r="A7" s="53"/>
      <c r="H7" s="4"/>
      <c r="I7" s="4"/>
    </row>
    <row r="8" spans="1:9" ht="12.75">
      <c r="A8" s="55" t="s">
        <v>67</v>
      </c>
      <c r="B8" s="36">
        <v>6858.607800000001</v>
      </c>
      <c r="C8" s="36">
        <v>31785.107165360147</v>
      </c>
      <c r="D8" s="36">
        <v>599.4784</v>
      </c>
      <c r="E8" s="36">
        <v>28703.069015664612</v>
      </c>
      <c r="F8" s="36">
        <v>60488.17618102477</v>
      </c>
      <c r="G8" s="34"/>
      <c r="H8" s="4">
        <v>0.5254763686416318</v>
      </c>
      <c r="I8" s="4">
        <v>0.474523631358368</v>
      </c>
    </row>
    <row r="9" spans="1:9" ht="12.75">
      <c r="A9" s="55" t="s">
        <v>70</v>
      </c>
      <c r="B9" s="36">
        <v>8059.545</v>
      </c>
      <c r="C9" s="36">
        <v>37350.65613885117</v>
      </c>
      <c r="D9" s="36">
        <v>220.7846</v>
      </c>
      <c r="E9" s="36">
        <v>10571.18256703812</v>
      </c>
      <c r="F9" s="36">
        <v>47921.83870588929</v>
      </c>
      <c r="G9" s="34"/>
      <c r="H9" s="4">
        <v>0.7794078263165851</v>
      </c>
      <c r="I9" s="4">
        <v>0.2205921736834148</v>
      </c>
    </row>
    <row r="10" spans="1:9" ht="12.75">
      <c r="A10" s="55" t="s">
        <v>71</v>
      </c>
      <c r="B10" s="36">
        <v>977.0247999999999</v>
      </c>
      <c r="C10" s="36">
        <v>4527.863216090963</v>
      </c>
      <c r="D10" s="36">
        <v>132.2742</v>
      </c>
      <c r="E10" s="36">
        <v>6333.298233250479</v>
      </c>
      <c r="F10" s="36">
        <v>10861.161449341444</v>
      </c>
      <c r="G10" s="34"/>
      <c r="H10" s="4">
        <v>0.41688572969012494</v>
      </c>
      <c r="I10" s="4">
        <v>0.5831142703098748</v>
      </c>
    </row>
    <row r="11" spans="1:9" ht="12.75">
      <c r="A11" s="55" t="s">
        <v>73</v>
      </c>
      <c r="B11" s="36">
        <v>130.6998</v>
      </c>
      <c r="C11" s="36">
        <v>605.7070575592818</v>
      </c>
      <c r="D11" s="36">
        <v>90.7782</v>
      </c>
      <c r="E11" s="36">
        <v>4346.466761300833</v>
      </c>
      <c r="F11" s="36">
        <v>4952.173818860116</v>
      </c>
      <c r="G11" s="34"/>
      <c r="H11" s="4">
        <v>0.12231134845317336</v>
      </c>
      <c r="I11" s="4">
        <v>0.8776886515468265</v>
      </c>
    </row>
    <row r="12" spans="1:9" ht="12.75">
      <c r="A12" s="55" t="s">
        <v>74</v>
      </c>
      <c r="B12" s="36">
        <v>517.3729999999999</v>
      </c>
      <c r="C12" s="36">
        <v>2397.681385056582</v>
      </c>
      <c r="D12" s="36">
        <v>64.3362</v>
      </c>
      <c r="E12" s="36">
        <v>3080.4218947765285</v>
      </c>
      <c r="F12" s="36">
        <v>5478.10327983311</v>
      </c>
      <c r="G12" s="34"/>
      <c r="H12" s="4">
        <v>0.4376845894606111</v>
      </c>
      <c r="I12" s="4">
        <v>0.5623154105393889</v>
      </c>
    </row>
    <row r="13" spans="1:9" ht="12.75">
      <c r="A13" s="55" t="s">
        <v>76</v>
      </c>
      <c r="B13" s="36">
        <v>1460.6368</v>
      </c>
      <c r="C13" s="36">
        <v>6769.084713907787</v>
      </c>
      <c r="D13" s="36">
        <v>63.525999999999996</v>
      </c>
      <c r="E13" s="36">
        <v>3041.629460359389</v>
      </c>
      <c r="F13" s="36">
        <v>9810.714174267177</v>
      </c>
      <c r="G13" s="34"/>
      <c r="H13" s="4">
        <f>C13/F13</f>
        <v>0.6899685989897276</v>
      </c>
      <c r="I13" s="4">
        <f>E13/F13</f>
        <v>0.31003140101027227</v>
      </c>
    </row>
    <row r="14" spans="1:9" ht="12.75">
      <c r="A14" s="55" t="s">
        <v>78</v>
      </c>
      <c r="B14" s="36">
        <v>1415.0939999999998</v>
      </c>
      <c r="C14" s="36">
        <v>6558.023982514083</v>
      </c>
      <c r="D14" s="36">
        <v>26.718600000000002</v>
      </c>
      <c r="E14" s="36">
        <v>1279.2884944677514</v>
      </c>
      <c r="F14" s="36">
        <v>7837.312476981834</v>
      </c>
      <c r="G14" s="34"/>
      <c r="H14" s="4">
        <v>0.8367694923195907</v>
      </c>
      <c r="I14" s="4">
        <v>0.16323050768040936</v>
      </c>
    </row>
    <row r="15" spans="1:9" ht="12.75">
      <c r="A15" s="55" t="s">
        <v>80</v>
      </c>
      <c r="B15" s="36">
        <v>3432.9149999999995</v>
      </c>
      <c r="C15" s="36">
        <v>18067.3486275277</v>
      </c>
      <c r="D15" s="36">
        <v>488.1184</v>
      </c>
      <c r="E15" s="36">
        <v>29731.33058320179</v>
      </c>
      <c r="F15" s="36">
        <v>47798.67921072949</v>
      </c>
      <c r="G15" s="34"/>
      <c r="H15" s="4">
        <v>0.37798844917606167</v>
      </c>
      <c r="I15" s="4">
        <v>0.6220115508239383</v>
      </c>
    </row>
    <row r="16" spans="1:9" ht="12.75">
      <c r="A16" s="55" t="s">
        <v>83</v>
      </c>
      <c r="B16" s="36">
        <v>5168.090399999999</v>
      </c>
      <c r="C16" s="36">
        <v>29938.347547054145</v>
      </c>
      <c r="D16" s="36">
        <v>1288.1566</v>
      </c>
      <c r="E16" s="36">
        <v>83263.99169721245</v>
      </c>
      <c r="F16" s="36">
        <v>113202.3392442666</v>
      </c>
      <c r="G16" s="34"/>
      <c r="H16" s="4">
        <v>0.264467569724452</v>
      </c>
      <c r="I16" s="4">
        <v>0.735532430275548</v>
      </c>
    </row>
    <row r="17" spans="1:9" ht="12.75">
      <c r="A17" s="55" t="s">
        <v>85</v>
      </c>
      <c r="B17" s="36">
        <v>2422.654</v>
      </c>
      <c r="C17" s="36">
        <v>14034.24704766405</v>
      </c>
      <c r="D17" s="36">
        <v>538.6692</v>
      </c>
      <c r="E17" s="36">
        <v>34818.55218250954</v>
      </c>
      <c r="F17" s="36">
        <v>48852.799230173594</v>
      </c>
      <c r="G17" s="34"/>
      <c r="H17" s="4">
        <v>0.28727621075592114</v>
      </c>
      <c r="I17" s="4">
        <v>0.7127237892440789</v>
      </c>
    </row>
    <row r="18" spans="1:9" ht="12.75">
      <c r="A18" s="55" t="s">
        <v>87</v>
      </c>
      <c r="B18" s="36">
        <v>834.6826000000001</v>
      </c>
      <c r="C18" s="36">
        <v>4835.251676379108</v>
      </c>
      <c r="D18" s="36">
        <v>404.477</v>
      </c>
      <c r="E18" s="36">
        <v>26144.623696927378</v>
      </c>
      <c r="F18" s="36">
        <v>30979.875373306488</v>
      </c>
      <c r="G18" s="34"/>
      <c r="H18" s="4">
        <f>C18/F18</f>
        <v>0.15607718294907527</v>
      </c>
      <c r="I18" s="4">
        <f>E18/F18</f>
        <v>0.8439228170509246</v>
      </c>
    </row>
    <row r="19" spans="1:9" ht="12.75">
      <c r="A19" s="55" t="s">
        <v>89</v>
      </c>
      <c r="B19" s="36">
        <v>995.231</v>
      </c>
      <c r="C19" s="36">
        <v>5765.296127096044</v>
      </c>
      <c r="D19" s="36">
        <v>219.44879999999998</v>
      </c>
      <c r="E19" s="36">
        <v>14184.752895077534</v>
      </c>
      <c r="F19" s="36">
        <v>19950.049022173578</v>
      </c>
      <c r="G19" s="34"/>
      <c r="H19" s="4">
        <v>0.28898656442839704</v>
      </c>
      <c r="I19" s="4">
        <v>0.711013435571603</v>
      </c>
    </row>
    <row r="20" spans="1:9" ht="12.75">
      <c r="A20" s="55" t="s">
        <v>90</v>
      </c>
      <c r="B20" s="36">
        <v>926.7850249999999</v>
      </c>
      <c r="C20" s="36">
        <v>5368.793893360547</v>
      </c>
      <c r="D20" s="36">
        <v>129.749025</v>
      </c>
      <c r="E20" s="36">
        <v>8386.730107443</v>
      </c>
      <c r="F20" s="36">
        <v>13755.524000803547</v>
      </c>
      <c r="G20" s="34"/>
      <c r="H20" s="4">
        <v>0.3903009360491772</v>
      </c>
      <c r="I20" s="4">
        <v>0.6096990639508229</v>
      </c>
    </row>
    <row r="21" spans="1:9" ht="12.75">
      <c r="A21" s="55" t="s">
        <v>93</v>
      </c>
      <c r="B21" s="36">
        <v>1270.839775</v>
      </c>
      <c r="C21" s="36">
        <v>7361.876421621823</v>
      </c>
      <c r="D21" s="36">
        <v>268.982625</v>
      </c>
      <c r="E21" s="36">
        <v>17386.52509694428</v>
      </c>
      <c r="F21" s="36">
        <v>24748.401518566097</v>
      </c>
      <c r="G21" s="34"/>
      <c r="H21" s="4">
        <v>0.29746876444116965</v>
      </c>
      <c r="I21" s="4">
        <v>0.7025312355588306</v>
      </c>
    </row>
    <row r="22" spans="1:9" ht="12.75">
      <c r="A22" s="55" t="s">
        <v>94</v>
      </c>
      <c r="B22" s="36">
        <v>2490.94</v>
      </c>
      <c r="C22" s="36">
        <v>14429.822558610636</v>
      </c>
      <c r="D22" s="36">
        <v>278.92587566895656</v>
      </c>
      <c r="E22" s="36">
        <v>18029.237901539076</v>
      </c>
      <c r="F22" s="36">
        <v>32459.06046014971</v>
      </c>
      <c r="G22" s="34"/>
      <c r="H22" s="4">
        <v>0.44455453589996125</v>
      </c>
      <c r="I22" s="4">
        <v>0.5554454641000388</v>
      </c>
    </row>
    <row r="23" spans="1:9" ht="12.75">
      <c r="A23" s="55" t="s">
        <v>96</v>
      </c>
      <c r="B23" s="36">
        <v>4313.544</v>
      </c>
      <c r="C23" s="36">
        <v>24988.02641523262</v>
      </c>
      <c r="D23" s="36">
        <v>516.6035577073845</v>
      </c>
      <c r="E23" s="36">
        <v>33392.27104817697</v>
      </c>
      <c r="F23" s="36">
        <v>58380.2974634096</v>
      </c>
      <c r="G23" s="34"/>
      <c r="H23" s="4">
        <v>0.42802156722298473</v>
      </c>
      <c r="I23" s="4">
        <v>0.571978432777015</v>
      </c>
    </row>
    <row r="24" spans="1:9" ht="12.75">
      <c r="A24" s="55" t="s">
        <v>98</v>
      </c>
      <c r="B24" s="36">
        <v>3633.2119999999995</v>
      </c>
      <c r="C24" s="36">
        <v>21046.91581403601</v>
      </c>
      <c r="D24" s="36">
        <v>1523.1151821296671</v>
      </c>
      <c r="E24" s="36">
        <v>98451.26739927648</v>
      </c>
      <c r="F24" s="36">
        <v>119498.1832133125</v>
      </c>
      <c r="G24" s="34"/>
      <c r="H24" s="4">
        <v>0.17612749623536797</v>
      </c>
      <c r="I24" s="4">
        <v>0.823872503764632</v>
      </c>
    </row>
    <row r="25" spans="1:9" ht="12.75">
      <c r="A25" s="55" t="s">
        <v>100</v>
      </c>
      <c r="B25" s="36">
        <v>1089.0120000000002</v>
      </c>
      <c r="C25" s="36">
        <v>6308.56219908857</v>
      </c>
      <c r="D25" s="36">
        <v>694.5990924484996</v>
      </c>
      <c r="E25" s="36">
        <v>44897.56374847839</v>
      </c>
      <c r="F25" s="36">
        <v>51206.12594756696</v>
      </c>
      <c r="G25" s="34"/>
      <c r="H25" s="4">
        <v>0.12319936496559587</v>
      </c>
      <c r="I25" s="4">
        <v>0.8768006350344041</v>
      </c>
    </row>
    <row r="26" spans="1:9" ht="12.75">
      <c r="A26" s="55" t="s">
        <v>101</v>
      </c>
      <c r="B26" s="36">
        <v>79.145</v>
      </c>
      <c r="C26" s="36">
        <v>458.4808571869409</v>
      </c>
      <c r="D26" s="36">
        <v>743.6563242865252</v>
      </c>
      <c r="E26" s="36">
        <v>48068.52987515087</v>
      </c>
      <c r="F26" s="36">
        <v>48527.01073233781</v>
      </c>
      <c r="G26" s="34"/>
      <c r="H26" s="4">
        <v>0.00944795177505988</v>
      </c>
      <c r="I26" s="4">
        <v>0.99055204822494</v>
      </c>
    </row>
    <row r="27" spans="1:9" ht="12.75">
      <c r="A27" s="55" t="s">
        <v>103</v>
      </c>
      <c r="B27" s="36">
        <v>3148.2065000000002</v>
      </c>
      <c r="C27" s="36">
        <v>18237.31650415692</v>
      </c>
      <c r="D27" s="36">
        <v>442.1358500104744</v>
      </c>
      <c r="E27" s="36">
        <v>28578.779755473057</v>
      </c>
      <c r="F27" s="36">
        <v>46816.09625962997</v>
      </c>
      <c r="G27" s="34"/>
      <c r="H27" s="4">
        <v>0.38955226858338365</v>
      </c>
      <c r="I27" s="4">
        <v>0.6104477314166163</v>
      </c>
    </row>
    <row r="28" spans="1:9" ht="12.75">
      <c r="A28" s="55" t="s">
        <v>107</v>
      </c>
      <c r="B28" s="36">
        <v>9244.7005</v>
      </c>
      <c r="C28" s="36">
        <v>60248.024971944185</v>
      </c>
      <c r="D28" s="36">
        <v>736.4216980422368</v>
      </c>
      <c r="E28" s="36">
        <v>54079.254896926825</v>
      </c>
      <c r="F28" s="36">
        <v>114327.279868871</v>
      </c>
      <c r="G28" s="34"/>
      <c r="H28" s="4">
        <v>0.5269785570079718</v>
      </c>
      <c r="I28" s="4">
        <v>0.47302144299202825</v>
      </c>
    </row>
    <row r="29" spans="1:9" ht="12.75">
      <c r="A29" s="55" t="s">
        <v>110</v>
      </c>
      <c r="B29" s="36">
        <v>4616.832</v>
      </c>
      <c r="C29" s="36">
        <v>30088.07125642854</v>
      </c>
      <c r="D29" s="36">
        <v>189.15964849865358</v>
      </c>
      <c r="E29" s="36">
        <v>13890.97154669431</v>
      </c>
      <c r="F29" s="36">
        <v>43979.04280312285</v>
      </c>
      <c r="G29" s="34"/>
      <c r="H29" s="4">
        <v>0.6841456598116786</v>
      </c>
      <c r="I29" s="4">
        <v>0.31585434018832137</v>
      </c>
    </row>
    <row r="30" spans="1:9" ht="12.75">
      <c r="A30" s="55" t="s">
        <v>112</v>
      </c>
      <c r="B30" s="36">
        <v>5684.093999999999</v>
      </c>
      <c r="C30" s="36">
        <v>37043.458653084606</v>
      </c>
      <c r="D30" s="36">
        <v>406.71882832504554</v>
      </c>
      <c r="E30" s="36">
        <v>29826.052098038275</v>
      </c>
      <c r="F30" s="36">
        <v>66869.5107511229</v>
      </c>
      <c r="G30" s="34"/>
      <c r="H30" s="4">
        <v>0.5539663478465416</v>
      </c>
      <c r="I30" s="4">
        <v>0.4460336521534581</v>
      </c>
    </row>
    <row r="31" spans="1:9" ht="12.75">
      <c r="A31" s="55" t="s">
        <v>114</v>
      </c>
      <c r="B31" s="36">
        <v>5707.031999999999</v>
      </c>
      <c r="C31" s="36">
        <v>100776.32421749443</v>
      </c>
      <c r="D31" s="36">
        <v>963.7923382448059</v>
      </c>
      <c r="E31" s="36">
        <v>79997.50807499999</v>
      </c>
      <c r="F31" s="36">
        <v>180773.83229249442</v>
      </c>
      <c r="G31" s="34"/>
      <c r="H31" s="4">
        <v>0.5574718582855345</v>
      </c>
      <c r="I31" s="4">
        <v>0.4425281417144655</v>
      </c>
    </row>
    <row r="32" spans="1:9" ht="12.75">
      <c r="A32" s="55" t="s">
        <v>119</v>
      </c>
      <c r="B32" s="36">
        <v>22029.731</v>
      </c>
      <c r="C32" s="36">
        <v>402892.43600000005</v>
      </c>
      <c r="D32" s="36">
        <v>1992.0834378125867</v>
      </c>
      <c r="E32" s="36">
        <v>188860.92199999996</v>
      </c>
      <c r="F32" s="36">
        <v>591753.358</v>
      </c>
      <c r="G32" s="34"/>
      <c r="H32" s="4">
        <v>0.6808452044305933</v>
      </c>
      <c r="I32" s="4">
        <v>0.31915479556940674</v>
      </c>
    </row>
    <row r="33" spans="1:9" ht="12.75">
      <c r="A33" s="55" t="s">
        <v>126</v>
      </c>
      <c r="B33" s="36">
        <v>9428.8552</v>
      </c>
      <c r="C33" s="36">
        <v>121874.56899999999</v>
      </c>
      <c r="D33" s="36">
        <v>136.58274269205762</v>
      </c>
      <c r="E33" s="36">
        <v>16023.336480000002</v>
      </c>
      <c r="F33" s="36">
        <v>137897.90548000002</v>
      </c>
      <c r="G33" s="34"/>
      <c r="H33" s="4">
        <f>C33/F33</f>
        <v>0.8838029016885687</v>
      </c>
      <c r="I33" s="4">
        <f>E33/F33</f>
        <v>0.11619709831143114</v>
      </c>
    </row>
    <row r="34" spans="1:9" ht="12.75">
      <c r="A34" s="55" t="s">
        <v>131</v>
      </c>
      <c r="B34" s="36">
        <v>4152.477499999999</v>
      </c>
      <c r="C34" s="36">
        <v>36023.66249999999</v>
      </c>
      <c r="D34" s="36">
        <v>137.53297653488508</v>
      </c>
      <c r="E34" s="36">
        <v>23955.866759999997</v>
      </c>
      <c r="F34" s="36">
        <v>59979.52926</v>
      </c>
      <c r="G34" s="34"/>
      <c r="H34" s="4">
        <v>0.6005992868640928</v>
      </c>
      <c r="I34" s="4">
        <v>0.3994007131359069</v>
      </c>
    </row>
    <row r="35" spans="1:9" ht="12.75">
      <c r="A35" s="55" t="s">
        <v>136</v>
      </c>
      <c r="B35" s="36">
        <v>24263.302600000003</v>
      </c>
      <c r="C35" s="36">
        <v>210873.24748377758</v>
      </c>
      <c r="D35" s="36">
        <v>255.82783956574772</v>
      </c>
      <c r="E35" s="36">
        <v>24682.712450208757</v>
      </c>
      <c r="F35" s="36">
        <v>235555.95993398633</v>
      </c>
      <c r="G35" s="34"/>
      <c r="H35" s="4">
        <v>0.895215079859894</v>
      </c>
      <c r="I35" s="4">
        <v>0.10478492014010596</v>
      </c>
    </row>
    <row r="36" spans="1:9" ht="12.75">
      <c r="A36" s="55" t="s">
        <v>137</v>
      </c>
      <c r="B36" s="36">
        <v>11097.4318</v>
      </c>
      <c r="C36" s="36">
        <v>96429.85168524098</v>
      </c>
      <c r="D36" s="36">
        <v>236.16042058685903</v>
      </c>
      <c r="E36" s="36">
        <v>22790.897136213433</v>
      </c>
      <c r="F36" s="36">
        <v>119220.74882145443</v>
      </c>
      <c r="G36" s="34"/>
      <c r="H36" s="4">
        <v>0.808834474187499</v>
      </c>
      <c r="I36" s="4">
        <v>0.1911655258125009</v>
      </c>
    </row>
    <row r="37" spans="1:9" ht="12.75">
      <c r="A37" s="55" t="s">
        <v>139</v>
      </c>
      <c r="B37" s="36">
        <v>8806.1662</v>
      </c>
      <c r="C37" s="36">
        <v>76520.16393392769</v>
      </c>
      <c r="D37" s="36">
        <v>102.63319943361721</v>
      </c>
      <c r="E37" s="36">
        <v>9934.572303302484</v>
      </c>
      <c r="F37" s="36">
        <v>86454.73623723016</v>
      </c>
      <c r="G37" s="34"/>
      <c r="H37" s="4">
        <v>0.8850893226249377</v>
      </c>
      <c r="I37" s="4">
        <v>0.11491067737506255</v>
      </c>
    </row>
    <row r="38" spans="1:9" ht="12.75">
      <c r="A38" s="55" t="s">
        <v>141</v>
      </c>
      <c r="B38" s="36">
        <v>8071.535000000001</v>
      </c>
      <c r="C38" s="36">
        <v>70489.33363192315</v>
      </c>
      <c r="D38" s="36">
        <v>76.19679298926587</v>
      </c>
      <c r="E38" s="36">
        <v>7416.22630875675</v>
      </c>
      <c r="F38" s="36">
        <v>77905.55994067989</v>
      </c>
      <c r="G38" s="34"/>
      <c r="H38" s="4">
        <v>0.9048049161779502</v>
      </c>
      <c r="I38" s="4">
        <v>0.09519508382204984</v>
      </c>
    </row>
    <row r="39" spans="1:9" ht="12.75">
      <c r="A39" s="55" t="s">
        <v>145</v>
      </c>
      <c r="B39" s="36">
        <v>16056.314000000002</v>
      </c>
      <c r="C39" s="36">
        <v>139852.039164622</v>
      </c>
      <c r="D39" s="36">
        <v>337.31778164665093</v>
      </c>
      <c r="E39" s="36">
        <v>32770.994864131804</v>
      </c>
      <c r="F39" s="36">
        <v>172623.0340287538</v>
      </c>
      <c r="G39" s="34"/>
      <c r="H39" s="4">
        <v>0.810158620785954</v>
      </c>
      <c r="I39" s="4">
        <v>0.18984137921404592</v>
      </c>
    </row>
    <row r="40" spans="1:9" ht="12.75">
      <c r="A40" s="55" t="s">
        <v>147</v>
      </c>
      <c r="B40" s="36">
        <v>6405.349399999999</v>
      </c>
      <c r="C40" s="36">
        <v>55658.54368522881</v>
      </c>
      <c r="D40" s="36">
        <v>185.2058399059643</v>
      </c>
      <c r="E40" s="36">
        <v>17957.030944032816</v>
      </c>
      <c r="F40" s="36">
        <v>73615.57462926162</v>
      </c>
      <c r="G40" s="34"/>
      <c r="H40" s="4">
        <v>0.7560702197263698</v>
      </c>
      <c r="I40" s="4">
        <v>0.24392978027363024</v>
      </c>
    </row>
    <row r="41" spans="1:9" ht="12.75">
      <c r="A41" s="55" t="s">
        <v>149</v>
      </c>
      <c r="B41" s="36">
        <v>18653.3626</v>
      </c>
      <c r="C41" s="36">
        <v>162086.23953417953</v>
      </c>
      <c r="D41" s="36">
        <v>178.4982718875066</v>
      </c>
      <c r="E41" s="36">
        <v>17306.68424585199</v>
      </c>
      <c r="F41" s="36">
        <v>179392.9237800315</v>
      </c>
      <c r="G41" s="34"/>
      <c r="H41" s="4">
        <v>0.9035263828629432</v>
      </c>
      <c r="I41" s="4">
        <v>0.0964736171370569</v>
      </c>
    </row>
    <row r="42" spans="1:9" ht="12.75">
      <c r="A42" s="55" t="s">
        <v>151</v>
      </c>
      <c r="B42" s="36">
        <v>7461.689686025</v>
      </c>
      <c r="C42" s="36">
        <v>64837.49057549362</v>
      </c>
      <c r="D42" s="36">
        <v>131.63665396365576</v>
      </c>
      <c r="E42" s="36">
        <v>12736.567906941395</v>
      </c>
      <c r="F42" s="36">
        <v>77574.058482435</v>
      </c>
      <c r="G42" s="34"/>
      <c r="H42" s="4">
        <v>0.8358140832630885</v>
      </c>
      <c r="I42" s="4">
        <v>0.16418591673691174</v>
      </c>
    </row>
    <row r="43" spans="8:9" ht="12.75">
      <c r="H43" s="4"/>
      <c r="I43" s="4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P745"/>
  <sheetViews>
    <sheetView defaultGridColor="0" zoomScale="90" zoomScaleNormal="90" colorId="0" workbookViewId="0" topLeftCell="A1">
      <pane xSplit="1" ySplit="7" topLeftCell="B699" activePane="bottomRight" state="frozen"/>
      <selection pane="bottomRight" activeCell="I700" sqref="I700"/>
    </sheetView>
  </sheetViews>
  <sheetFormatPr defaultColWidth="9.140625" defaultRowHeight="12.75"/>
  <cols>
    <col min="1" max="1" width="9.8515625" style="45" customWidth="1"/>
    <col min="2" max="2" width="8.28125" style="20" customWidth="1"/>
    <col min="3" max="3" width="11.7109375" style="34" customWidth="1"/>
    <col min="4" max="4" width="15.140625" style="34" customWidth="1"/>
    <col min="5" max="5" width="10.7109375" style="34" customWidth="1"/>
    <col min="6" max="6" width="12.8515625" style="34" customWidth="1"/>
    <col min="7" max="7" width="8.421875" style="20" customWidth="1"/>
    <col min="8" max="8" width="10.7109375" style="36" customWidth="1"/>
    <col min="9" max="10" width="10.57421875" style="34" customWidth="1"/>
    <col min="11" max="11" width="10.140625" style="34" customWidth="1"/>
    <col min="12" max="12" width="11.8515625" style="34" customWidth="1"/>
    <col min="13" max="13" width="12.140625" style="34" customWidth="1"/>
    <col min="15" max="16" width="8.7109375" style="4" customWidth="1"/>
  </cols>
  <sheetData>
    <row r="1" ht="12.75">
      <c r="C1" s="35" t="s">
        <v>2</v>
      </c>
    </row>
    <row r="2" ht="12.75">
      <c r="C2" s="36"/>
    </row>
    <row r="3" spans="3:9" ht="12.75">
      <c r="C3" s="37" t="s">
        <v>285</v>
      </c>
      <c r="H3" s="34"/>
      <c r="I3" s="35" t="s">
        <v>201</v>
      </c>
    </row>
    <row r="4" spans="3:16" ht="12.75">
      <c r="C4" s="34"/>
      <c r="H4" s="6"/>
      <c r="I4" s="34"/>
      <c r="M4" s="35" t="s">
        <v>297</v>
      </c>
      <c r="O4" s="5" t="s">
        <v>266</v>
      </c>
      <c r="P4" s="5" t="s">
        <v>266</v>
      </c>
    </row>
    <row r="5" spans="1:16" ht="12.75">
      <c r="A5" s="45" t="s">
        <v>317</v>
      </c>
      <c r="B5" s="1" t="s">
        <v>301</v>
      </c>
      <c r="C5" s="35" t="s">
        <v>241</v>
      </c>
      <c r="D5" s="35" t="s">
        <v>271</v>
      </c>
      <c r="E5" s="35" t="s">
        <v>296</v>
      </c>
      <c r="F5" s="35" t="s">
        <v>307</v>
      </c>
      <c r="G5" s="37"/>
      <c r="H5" s="1" t="s">
        <v>301</v>
      </c>
      <c r="I5" s="35" t="s">
        <v>241</v>
      </c>
      <c r="J5" s="35" t="s">
        <v>271</v>
      </c>
      <c r="K5" s="35" t="s">
        <v>296</v>
      </c>
      <c r="L5" s="35" t="s">
        <v>307</v>
      </c>
      <c r="M5" s="35" t="s">
        <v>312</v>
      </c>
      <c r="O5" s="5" t="s">
        <v>282</v>
      </c>
      <c r="P5" s="5" t="s">
        <v>198</v>
      </c>
    </row>
    <row r="6" spans="1:16" ht="12.75">
      <c r="A6" s="45"/>
      <c r="B6" s="1" t="s">
        <v>269</v>
      </c>
      <c r="C6" s="35" t="s">
        <v>237</v>
      </c>
      <c r="D6" s="35" t="s">
        <v>237</v>
      </c>
      <c r="E6" s="35" t="s">
        <v>239</v>
      </c>
      <c r="F6" s="35" t="s">
        <v>8</v>
      </c>
      <c r="G6" s="20"/>
      <c r="H6" s="1" t="s">
        <v>269</v>
      </c>
      <c r="I6" s="35" t="s">
        <v>237</v>
      </c>
      <c r="J6" s="35" t="s">
        <v>237</v>
      </c>
      <c r="K6" s="35" t="s">
        <v>239</v>
      </c>
      <c r="L6" s="35" t="s">
        <v>8</v>
      </c>
      <c r="M6" s="35" t="s">
        <v>4</v>
      </c>
      <c r="O6" s="4"/>
      <c r="P6" s="4"/>
    </row>
    <row r="7" spans="1:16" ht="12.75">
      <c r="A7" s="45"/>
      <c r="B7" s="20"/>
      <c r="C7" s="36"/>
      <c r="D7" s="36"/>
      <c r="E7" s="36"/>
      <c r="F7" s="36"/>
      <c r="G7" s="20"/>
      <c r="H7" s="36"/>
      <c r="I7" s="36"/>
      <c r="J7" s="36"/>
      <c r="K7" s="36"/>
      <c r="L7" s="36"/>
      <c r="M7" s="36"/>
      <c r="O7" s="8"/>
      <c r="P7" s="8"/>
    </row>
    <row r="8" spans="1:16" ht="12.75">
      <c r="A8" s="45">
        <v>1235</v>
      </c>
      <c r="B8" s="20"/>
      <c r="C8" s="34">
        <v>5830.525</v>
      </c>
      <c r="D8" s="34">
        <v>7205.803</v>
      </c>
      <c r="E8" s="34">
        <f>C8+D8</f>
        <v>13036.328</v>
      </c>
      <c r="F8" s="34">
        <f>3.115305029*E8</f>
        <v>40612.13817809351</v>
      </c>
      <c r="G8" s="20"/>
      <c r="H8" s="36"/>
      <c r="I8" s="34"/>
      <c r="J8" s="34"/>
      <c r="K8" s="34"/>
      <c r="L8" s="34"/>
      <c r="M8" s="34">
        <f>F8+L8</f>
        <v>40612.13817809351</v>
      </c>
      <c r="O8" s="4">
        <f>F8/M8</f>
        <v>1</v>
      </c>
      <c r="P8" s="4">
        <f>L8/M8</f>
        <v>0</v>
      </c>
    </row>
    <row r="9" spans="1:16" ht="12.75">
      <c r="A9" s="45"/>
      <c r="B9" s="20"/>
      <c r="C9" s="36"/>
      <c r="D9" s="36"/>
      <c r="E9" s="36"/>
      <c r="F9" s="36"/>
      <c r="G9" s="20"/>
      <c r="H9" s="36"/>
      <c r="I9" s="36"/>
      <c r="J9" s="36"/>
      <c r="K9" s="36"/>
      <c r="L9" s="36"/>
      <c r="M9" s="36"/>
      <c r="O9" s="8"/>
      <c r="P9" s="8"/>
    </row>
    <row r="10" spans="1:16" ht="12.75">
      <c r="A10" s="45"/>
      <c r="B10" s="20"/>
      <c r="C10" s="36"/>
      <c r="D10" s="36"/>
      <c r="E10" s="36"/>
      <c r="F10" s="36"/>
      <c r="G10" s="20"/>
      <c r="H10" s="36"/>
      <c r="I10" s="36"/>
      <c r="J10" s="36"/>
      <c r="K10" s="36"/>
      <c r="L10" s="36"/>
      <c r="M10" s="36"/>
      <c r="O10" s="8"/>
      <c r="P10" s="8"/>
    </row>
    <row r="11" spans="1:16" ht="12.75">
      <c r="A11" s="45">
        <v>1236</v>
      </c>
      <c r="B11" s="20"/>
      <c r="C11" s="34">
        <v>6060.251</v>
      </c>
      <c r="D11" s="34">
        <v>9682.127</v>
      </c>
      <c r="E11" s="34">
        <f>C11+D11</f>
        <v>15742.378</v>
      </c>
      <c r="F11" s="34">
        <f>3.115305029*E11</f>
        <v>49042.30935181896</v>
      </c>
      <c r="G11" s="20"/>
      <c r="H11" s="36"/>
      <c r="I11" s="34"/>
      <c r="J11" s="34"/>
      <c r="K11" s="34"/>
      <c r="L11" s="34"/>
      <c r="M11" s="34">
        <f>F11+L11</f>
        <v>49042.30935181896</v>
      </c>
      <c r="O11" s="4">
        <f>F11/M11</f>
        <v>1</v>
      </c>
      <c r="P11" s="4">
        <f>L11/M11</f>
        <v>0</v>
      </c>
    </row>
    <row r="12" spans="1:16" ht="12.75">
      <c r="A12" s="45">
        <v>1237</v>
      </c>
      <c r="B12" s="20"/>
      <c r="C12" s="34">
        <v>5587.814</v>
      </c>
      <c r="D12" s="34">
        <v>9969.993</v>
      </c>
      <c r="E12" s="34">
        <f>C12+D12</f>
        <v>15557.807</v>
      </c>
      <c r="F12" s="34">
        <f>3.115305029*E12</f>
        <v>48467.3143873114</v>
      </c>
      <c r="G12" s="20"/>
      <c r="H12" s="36"/>
      <c r="I12" s="34"/>
      <c r="J12" s="34"/>
      <c r="K12" s="34"/>
      <c r="L12" s="34"/>
      <c r="M12" s="34">
        <f>F12+L12</f>
        <v>48467.3143873114</v>
      </c>
      <c r="O12" s="4">
        <f>F12/M12</f>
        <v>1</v>
      </c>
      <c r="P12" s="4">
        <f>L12/M12</f>
        <v>0</v>
      </c>
    </row>
    <row r="13" spans="1:16" ht="12.75">
      <c r="A13" s="45">
        <v>1238</v>
      </c>
      <c r="B13" s="20"/>
      <c r="C13" s="34">
        <v>3609.211</v>
      </c>
      <c r="D13" s="34">
        <v>5892.039</v>
      </c>
      <c r="E13" s="34">
        <f>C13+D13</f>
        <v>9501.25</v>
      </c>
      <c r="F13" s="34">
        <f>3.115305029*E13</f>
        <v>29599.29190678625</v>
      </c>
      <c r="G13" s="20"/>
      <c r="H13" s="36"/>
      <c r="I13" s="34"/>
      <c r="J13" s="34"/>
      <c r="K13" s="34"/>
      <c r="L13" s="34"/>
      <c r="M13" s="34">
        <f>F13+L13</f>
        <v>29599.29190678625</v>
      </c>
      <c r="O13" s="4">
        <f>F13/M13</f>
        <v>1</v>
      </c>
      <c r="P13" s="4">
        <f>L13/M13</f>
        <v>0</v>
      </c>
    </row>
    <row r="14" spans="1:16" ht="12.75">
      <c r="A14" s="45">
        <v>1239</v>
      </c>
      <c r="B14" s="20"/>
      <c r="C14" s="34">
        <v>3264.275</v>
      </c>
      <c r="D14" s="34">
        <v>7022.605</v>
      </c>
      <c r="E14" s="34">
        <f>C14+D14</f>
        <v>10286.88</v>
      </c>
      <c r="F14" s="34">
        <f>3.115305029*E14</f>
        <v>32046.76899671952</v>
      </c>
      <c r="G14" s="20"/>
      <c r="H14" s="36"/>
      <c r="I14" s="34"/>
      <c r="J14" s="34"/>
      <c r="K14" s="34"/>
      <c r="L14" s="34"/>
      <c r="M14" s="34">
        <f>F14+L14</f>
        <v>32046.76899671952</v>
      </c>
      <c r="O14" s="4">
        <f>F14/M14</f>
        <v>1</v>
      </c>
      <c r="P14" s="4">
        <f>L14/M14</f>
        <v>0</v>
      </c>
    </row>
    <row r="15" spans="1:16" ht="12.75">
      <c r="A15" s="45">
        <v>1240</v>
      </c>
      <c r="B15" s="20"/>
      <c r="C15" s="34">
        <v>5359.772</v>
      </c>
      <c r="D15" s="34">
        <v>8771.829</v>
      </c>
      <c r="E15" s="34">
        <f>C15+D15</f>
        <v>14131.600999999999</v>
      </c>
      <c r="F15" s="34">
        <f>3.115305029*E15</f>
        <v>44024.24766312142</v>
      </c>
      <c r="G15" s="20"/>
      <c r="H15" s="36"/>
      <c r="I15" s="34"/>
      <c r="J15" s="34"/>
      <c r="K15" s="34"/>
      <c r="L15" s="34"/>
      <c r="M15" s="34">
        <f>F15+L15</f>
        <v>44024.24766312142</v>
      </c>
      <c r="O15" s="4">
        <f>F15/M15</f>
        <v>1</v>
      </c>
      <c r="P15" s="4">
        <f>L15/M15</f>
        <v>0</v>
      </c>
    </row>
    <row r="16" spans="1:16" ht="12.75">
      <c r="A16" s="45"/>
      <c r="B16" s="20"/>
      <c r="C16" s="36"/>
      <c r="D16" s="36"/>
      <c r="E16" s="36"/>
      <c r="F16" s="36"/>
      <c r="G16" s="20"/>
      <c r="H16" s="36"/>
      <c r="I16" s="36"/>
      <c r="J16" s="36"/>
      <c r="K16" s="36"/>
      <c r="L16" s="36"/>
      <c r="M16" s="36"/>
      <c r="O16" s="8"/>
      <c r="P16" s="8"/>
    </row>
    <row r="17" spans="1:16" ht="12.75">
      <c r="A17" s="45" t="s">
        <v>14</v>
      </c>
      <c r="B17" s="20"/>
      <c r="C17" s="36">
        <f>SUM(C11:C16)/5</f>
        <v>4776.2646</v>
      </c>
      <c r="D17" s="36">
        <f>SUM(D11:D16)/5</f>
        <v>8267.7186</v>
      </c>
      <c r="E17" s="36">
        <f>SUM(E11:E16)/5</f>
        <v>13043.983199999999</v>
      </c>
      <c r="F17" s="36">
        <f>SUM(F11:F16)/5</f>
        <v>40635.98646115151</v>
      </c>
      <c r="G17" s="20"/>
      <c r="H17" s="36"/>
      <c r="I17" s="36"/>
      <c r="J17" s="36"/>
      <c r="K17" s="36"/>
      <c r="L17" s="36"/>
      <c r="M17" s="36">
        <f>SUM(M11:M16)/5</f>
        <v>40635.98646115151</v>
      </c>
      <c r="O17" s="4">
        <f>F17/M17</f>
        <v>1</v>
      </c>
      <c r="P17" s="4">
        <f>L17/M17</f>
        <v>0</v>
      </c>
    </row>
    <row r="18" spans="1:16" ht="12.75">
      <c r="A18" s="45"/>
      <c r="B18" s="20"/>
      <c r="C18" s="36"/>
      <c r="D18" s="36"/>
      <c r="E18" s="36"/>
      <c r="F18" s="36"/>
      <c r="G18" s="20"/>
      <c r="H18" s="36"/>
      <c r="I18" s="36"/>
      <c r="J18" s="36"/>
      <c r="K18" s="36"/>
      <c r="L18" s="36"/>
      <c r="M18" s="36"/>
      <c r="O18" s="8"/>
      <c r="P18" s="8"/>
    </row>
    <row r="19" spans="1:16" ht="12.75">
      <c r="A19" s="45">
        <v>1241</v>
      </c>
      <c r="B19" s="20"/>
      <c r="C19" s="34">
        <v>5247.244</v>
      </c>
      <c r="D19" s="34">
        <v>6675.847</v>
      </c>
      <c r="E19" s="34">
        <f>C19+D19</f>
        <v>11923.091</v>
      </c>
      <c r="F19" s="34">
        <f>3.115305029*E19</f>
        <v>37144.06535352464</v>
      </c>
      <c r="G19" s="20"/>
      <c r="H19" s="36"/>
      <c r="I19" s="34"/>
      <c r="J19" s="34"/>
      <c r="K19" s="34"/>
      <c r="L19" s="34"/>
      <c r="M19" s="34">
        <f>F19+L19</f>
        <v>37144.06535352464</v>
      </c>
      <c r="O19" s="4">
        <f>F19/M19</f>
        <v>1</v>
      </c>
      <c r="P19" s="4">
        <f>L19/M19</f>
        <v>0</v>
      </c>
    </row>
    <row r="20" spans="1:16" ht="12.75">
      <c r="A20" s="45">
        <v>1242</v>
      </c>
      <c r="B20" s="20"/>
      <c r="C20" s="34">
        <v>6036.354</v>
      </c>
      <c r="D20" s="34">
        <v>5153.62</v>
      </c>
      <c r="E20" s="34">
        <f>C20+D20</f>
        <v>11189.974</v>
      </c>
      <c r="F20" s="34">
        <f>3.115305029*E20</f>
        <v>34860.182276579246</v>
      </c>
      <c r="G20" s="20"/>
      <c r="H20" s="36"/>
      <c r="I20" s="34"/>
      <c r="J20" s="34"/>
      <c r="K20" s="34"/>
      <c r="L20" s="34"/>
      <c r="M20" s="34">
        <f>F20+L20</f>
        <v>34860.182276579246</v>
      </c>
      <c r="O20" s="4">
        <f>F20/M20</f>
        <v>1</v>
      </c>
      <c r="P20" s="4">
        <f>L20/M20</f>
        <v>0</v>
      </c>
    </row>
    <row r="21" spans="1:16" ht="12.75">
      <c r="A21" s="45">
        <v>1243</v>
      </c>
      <c r="B21" s="20"/>
      <c r="C21" s="34">
        <v>10222.631</v>
      </c>
      <c r="D21" s="34">
        <v>8838.722</v>
      </c>
      <c r="E21" s="34">
        <f>C21+D21</f>
        <v>19061.353</v>
      </c>
      <c r="F21" s="34">
        <f>3.115305029*E21</f>
        <v>59381.92886044423</v>
      </c>
      <c r="G21" s="20"/>
      <c r="H21" s="36"/>
      <c r="I21" s="34"/>
      <c r="J21" s="34"/>
      <c r="K21" s="34"/>
      <c r="L21" s="34"/>
      <c r="M21" s="34">
        <f>F21+L21</f>
        <v>59381.92886044423</v>
      </c>
      <c r="O21" s="4">
        <f>F21/M21</f>
        <v>1</v>
      </c>
      <c r="P21" s="4">
        <f>L21/M21</f>
        <v>0</v>
      </c>
    </row>
    <row r="22" spans="1:16" ht="12.75">
      <c r="A22" s="45">
        <v>1244</v>
      </c>
      <c r="B22" s="20"/>
      <c r="C22" s="34">
        <v>10597.144</v>
      </c>
      <c r="D22" s="34">
        <v>8258.218</v>
      </c>
      <c r="E22" s="34">
        <f>C22+D22</f>
        <v>18855.362</v>
      </c>
      <c r="F22" s="34">
        <f>3.115305029*E22</f>
        <v>58740.204062215504</v>
      </c>
      <c r="G22" s="20"/>
      <c r="H22" s="36"/>
      <c r="I22" s="34"/>
      <c r="J22" s="34"/>
      <c r="K22" s="34"/>
      <c r="L22" s="34"/>
      <c r="M22" s="34">
        <f>F22+L22</f>
        <v>58740.204062215504</v>
      </c>
      <c r="O22" s="4">
        <f>F22/M22</f>
        <v>1</v>
      </c>
      <c r="P22" s="4">
        <f>L22/M22</f>
        <v>0</v>
      </c>
    </row>
    <row r="23" spans="1:16" ht="12.75">
      <c r="A23" s="45">
        <v>1245</v>
      </c>
      <c r="B23" s="20"/>
      <c r="C23" s="34">
        <v>8252.405</v>
      </c>
      <c r="D23" s="34">
        <v>7487.992</v>
      </c>
      <c r="E23" s="34">
        <f>C23+D23</f>
        <v>15740.397</v>
      </c>
      <c r="F23" s="34">
        <f>3.115305029*E23</f>
        <v>49036.137932556514</v>
      </c>
      <c r="G23" s="20"/>
      <c r="H23" s="36"/>
      <c r="I23" s="34"/>
      <c r="J23" s="34"/>
      <c r="K23" s="34"/>
      <c r="L23" s="34"/>
      <c r="M23" s="34">
        <f>F23+L23</f>
        <v>49036.137932556514</v>
      </c>
      <c r="O23" s="4">
        <f>F23/M23</f>
        <v>1</v>
      </c>
      <c r="P23" s="4">
        <f>L23/M23</f>
        <v>0</v>
      </c>
    </row>
    <row r="24" spans="1:16" ht="12.75">
      <c r="A24" s="45"/>
      <c r="B24" s="20"/>
      <c r="C24" s="36"/>
      <c r="D24" s="36"/>
      <c r="E24" s="36"/>
      <c r="F24" s="36"/>
      <c r="G24" s="20"/>
      <c r="H24" s="36"/>
      <c r="I24" s="36"/>
      <c r="J24" s="36"/>
      <c r="K24" s="36"/>
      <c r="L24" s="36"/>
      <c r="M24" s="36"/>
      <c r="O24" s="8"/>
      <c r="P24" s="8"/>
    </row>
    <row r="25" spans="1:16" ht="12.75">
      <c r="A25" s="45" t="s">
        <v>15</v>
      </c>
      <c r="B25" s="20"/>
      <c r="C25" s="36">
        <f>SUM(C19:C24)/5</f>
        <v>8071.1556</v>
      </c>
      <c r="D25" s="36">
        <f>SUM(D19:D24)/5</f>
        <v>7282.8798</v>
      </c>
      <c r="E25" s="36">
        <f>SUM(E19:E24)/5</f>
        <v>15354.035400000002</v>
      </c>
      <c r="F25" s="36">
        <f>SUM(F19:F24)/5</f>
        <v>47832.50369706403</v>
      </c>
      <c r="G25" s="20"/>
      <c r="H25" s="36"/>
      <c r="I25" s="36"/>
      <c r="J25" s="36"/>
      <c r="K25" s="36"/>
      <c r="L25" s="36"/>
      <c r="M25" s="36">
        <f>SUM(M19:M24)/5</f>
        <v>47832.50369706403</v>
      </c>
      <c r="O25" s="4">
        <f>F25/M25</f>
        <v>1</v>
      </c>
      <c r="P25" s="4">
        <f>L25/M25</f>
        <v>0</v>
      </c>
    </row>
    <row r="26" spans="1:16" ht="12.75">
      <c r="A26" s="45"/>
      <c r="B26" s="20"/>
      <c r="C26" s="36"/>
      <c r="D26" s="36"/>
      <c r="E26" s="36"/>
      <c r="F26" s="36"/>
      <c r="G26" s="20"/>
      <c r="H26" s="36"/>
      <c r="I26" s="36"/>
      <c r="J26" s="36"/>
      <c r="K26" s="36"/>
      <c r="L26" s="36"/>
      <c r="M26" s="36"/>
      <c r="O26" s="8"/>
      <c r="P26" s="8"/>
    </row>
    <row r="27" spans="1:16" ht="12.75">
      <c r="A27" s="45">
        <v>1246</v>
      </c>
      <c r="B27" s="20"/>
      <c r="C27" s="34">
        <v>7643.707</v>
      </c>
      <c r="D27" s="34">
        <v>7095.758</v>
      </c>
      <c r="E27" s="34">
        <f>C27+D27</f>
        <v>14739.465</v>
      </c>
      <c r="F27" s="34">
        <f>3.115305029*E27</f>
        <v>45917.92943926949</v>
      </c>
      <c r="G27" s="20"/>
      <c r="H27" s="36"/>
      <c r="I27" s="34"/>
      <c r="J27" s="34"/>
      <c r="K27" s="34"/>
      <c r="L27" s="34"/>
      <c r="M27" s="34">
        <f>F27+L27</f>
        <v>45917.92943926949</v>
      </c>
      <c r="O27" s="4">
        <f>F27/M27</f>
        <v>1</v>
      </c>
      <c r="P27" s="4">
        <f>L27/M27</f>
        <v>0</v>
      </c>
    </row>
    <row r="28" spans="1:16" ht="12.75">
      <c r="A28" s="45">
        <v>1247</v>
      </c>
      <c r="B28" s="20"/>
      <c r="C28" s="34">
        <v>7903.533</v>
      </c>
      <c r="D28" s="34">
        <v>5717.117</v>
      </c>
      <c r="E28" s="34">
        <f>C28+D28</f>
        <v>13620.650000000001</v>
      </c>
      <c r="F28" s="34">
        <f>3.115305029*E28</f>
        <v>42432.479443248856</v>
      </c>
      <c r="G28" s="20"/>
      <c r="H28" s="36"/>
      <c r="I28" s="34"/>
      <c r="J28" s="34"/>
      <c r="K28" s="34"/>
      <c r="L28" s="34"/>
      <c r="M28" s="34">
        <f>F28+L28</f>
        <v>42432.479443248856</v>
      </c>
      <c r="O28" s="4">
        <f>F28/M28</f>
        <v>1</v>
      </c>
      <c r="P28" s="4">
        <f>L28/M28</f>
        <v>0</v>
      </c>
    </row>
    <row r="29" spans="1:16" ht="12.75">
      <c r="A29" s="45">
        <v>1248</v>
      </c>
      <c r="B29" s="20"/>
      <c r="C29" s="34">
        <v>22142.547</v>
      </c>
      <c r="D29" s="34">
        <v>12322.106</v>
      </c>
      <c r="E29" s="34">
        <f>C29+D29</f>
        <v>34464.653</v>
      </c>
      <c r="F29" s="34">
        <f>3.115305029*E29</f>
        <v>107367.90681363993</v>
      </c>
      <c r="G29" s="20"/>
      <c r="H29" s="36"/>
      <c r="I29" s="34"/>
      <c r="J29" s="34"/>
      <c r="K29" s="34"/>
      <c r="L29" s="34"/>
      <c r="M29" s="34">
        <f>F29+L29</f>
        <v>107367.90681363993</v>
      </c>
      <c r="O29" s="4">
        <f>F29/M29</f>
        <v>1</v>
      </c>
      <c r="P29" s="4">
        <f>L29/M29</f>
        <v>0</v>
      </c>
    </row>
    <row r="30" spans="1:16" ht="12.75">
      <c r="A30" s="45">
        <v>1249</v>
      </c>
      <c r="B30" s="20"/>
      <c r="C30" s="34">
        <v>25657.198</v>
      </c>
      <c r="D30" s="34">
        <v>13347.725</v>
      </c>
      <c r="E30" s="34">
        <f>C30+D30</f>
        <v>39004.923</v>
      </c>
      <c r="F30" s="34">
        <f>3.115305029*E30</f>
        <v>121512.23277765777</v>
      </c>
      <c r="G30" s="20"/>
      <c r="H30" s="36"/>
      <c r="I30" s="34"/>
      <c r="J30" s="34"/>
      <c r="K30" s="34"/>
      <c r="L30" s="34"/>
      <c r="M30" s="34">
        <f>F30+L30</f>
        <v>121512.23277765777</v>
      </c>
      <c r="O30" s="4">
        <f>F30/M30</f>
        <v>1</v>
      </c>
      <c r="P30" s="4">
        <f>L30/M30</f>
        <v>0</v>
      </c>
    </row>
    <row r="31" spans="1:16" ht="12.75">
      <c r="A31" s="45">
        <v>1250</v>
      </c>
      <c r="B31" s="20"/>
      <c r="C31" s="34">
        <v>16736.386</v>
      </c>
      <c r="D31" s="34">
        <v>8662.227</v>
      </c>
      <c r="E31" s="34">
        <f>C31+D31</f>
        <v>25398.612999999998</v>
      </c>
      <c r="F31" s="34">
        <f>3.115305029*E31</f>
        <v>79124.42680852477</v>
      </c>
      <c r="G31" s="20"/>
      <c r="H31" s="36"/>
      <c r="I31" s="34"/>
      <c r="J31" s="34"/>
      <c r="K31" s="34"/>
      <c r="L31" s="34"/>
      <c r="M31" s="34">
        <f>F31+L31</f>
        <v>79124.42680852477</v>
      </c>
      <c r="O31" s="4">
        <f>F31/M31</f>
        <v>1</v>
      </c>
      <c r="P31" s="4">
        <f>L31/M31</f>
        <v>0</v>
      </c>
    </row>
    <row r="32" spans="1:16" ht="12.75">
      <c r="A32" s="45"/>
      <c r="B32" s="20"/>
      <c r="C32" s="36"/>
      <c r="D32" s="36"/>
      <c r="E32" s="36"/>
      <c r="F32" s="36"/>
      <c r="G32" s="20"/>
      <c r="H32" s="36"/>
      <c r="I32" s="36"/>
      <c r="J32" s="36"/>
      <c r="K32" s="36"/>
      <c r="L32" s="36"/>
      <c r="M32" s="36"/>
      <c r="O32" s="8"/>
      <c r="P32" s="8"/>
    </row>
    <row r="33" spans="1:16" ht="12.75">
      <c r="A33" s="45" t="s">
        <v>16</v>
      </c>
      <c r="B33" s="20"/>
      <c r="C33" s="36">
        <f>SUM(C27:C32)/5</f>
        <v>16016.6742</v>
      </c>
      <c r="D33" s="36">
        <f>SUM(D27:D32)/5</f>
        <v>9428.9866</v>
      </c>
      <c r="E33" s="36">
        <f>SUM(E27:E32)/5</f>
        <v>25445.660799999998</v>
      </c>
      <c r="F33" s="36">
        <f>SUM(F27:F32)/5</f>
        <v>79270.99505646815</v>
      </c>
      <c r="G33" s="20"/>
      <c r="H33" s="36"/>
      <c r="I33" s="36"/>
      <c r="J33" s="36"/>
      <c r="K33" s="36"/>
      <c r="L33" s="36"/>
      <c r="M33" s="36">
        <f>SUM(M27:M32)/5</f>
        <v>79270.99505646815</v>
      </c>
      <c r="O33" s="4">
        <f>F33/M33</f>
        <v>1</v>
      </c>
      <c r="P33" s="4">
        <f>L33/M33</f>
        <v>0</v>
      </c>
    </row>
    <row r="34" spans="1:16" ht="12.75">
      <c r="A34" s="45"/>
      <c r="B34" s="20"/>
      <c r="C34" s="36"/>
      <c r="D34" s="36"/>
      <c r="E34" s="36"/>
      <c r="F34" s="36"/>
      <c r="G34" s="20"/>
      <c r="H34" s="36"/>
      <c r="I34" s="36"/>
      <c r="J34" s="36"/>
      <c r="K34" s="36"/>
      <c r="L34" s="36"/>
      <c r="M34" s="36"/>
      <c r="O34" s="8"/>
      <c r="P34" s="8"/>
    </row>
    <row r="35" spans="1:16" ht="12.75">
      <c r="A35" s="45">
        <v>1251</v>
      </c>
      <c r="B35" s="20"/>
      <c r="C35" s="34">
        <v>12180.768</v>
      </c>
      <c r="D35" s="34">
        <v>6569.174</v>
      </c>
      <c r="E35" s="34">
        <f>C35+D35</f>
        <v>18749.942</v>
      </c>
      <c r="F35" s="34">
        <f>3.115305029*E35</f>
        <v>58411.78860605831</v>
      </c>
      <c r="G35" s="20"/>
      <c r="H35" s="36"/>
      <c r="I35" s="34"/>
      <c r="J35" s="34"/>
      <c r="K35" s="34"/>
      <c r="L35" s="34"/>
      <c r="M35" s="34">
        <f>F35+L35</f>
        <v>58411.78860605831</v>
      </c>
      <c r="O35" s="4">
        <f>F35/M35</f>
        <v>1</v>
      </c>
      <c r="P35" s="4">
        <f>L35/M35</f>
        <v>0</v>
      </c>
    </row>
    <row r="36" spans="1:16" ht="12.75">
      <c r="A36" s="45">
        <v>1252</v>
      </c>
      <c r="B36" s="20"/>
      <c r="C36" s="34">
        <v>11627.527</v>
      </c>
      <c r="D36" s="34">
        <v>8655.476</v>
      </c>
      <c r="E36" s="34">
        <f>C36+D36</f>
        <v>20283.003</v>
      </c>
      <c r="F36" s="34">
        <f>3.115305029*E36</f>
        <v>63187.74124912209</v>
      </c>
      <c r="G36" s="20"/>
      <c r="H36" s="36"/>
      <c r="I36" s="34"/>
      <c r="J36" s="34"/>
      <c r="K36" s="34"/>
      <c r="L36" s="34"/>
      <c r="M36" s="34">
        <f>F36+L36</f>
        <v>63187.74124912209</v>
      </c>
      <c r="O36" s="4">
        <f>F36/M36</f>
        <v>1</v>
      </c>
      <c r="P36" s="4">
        <f>L36/M36</f>
        <v>0</v>
      </c>
    </row>
    <row r="37" spans="1:16" ht="12.75">
      <c r="A37" s="45">
        <v>1253</v>
      </c>
      <c r="B37" s="20"/>
      <c r="C37" s="34">
        <v>10852.99</v>
      </c>
      <c r="D37" s="34">
        <v>11576.3</v>
      </c>
      <c r="E37" s="34">
        <f>C37+D37</f>
        <v>22429.29</v>
      </c>
      <c r="F37" s="34">
        <f>3.115305029*E37</f>
        <v>69874.07993389941</v>
      </c>
      <c r="G37" s="20"/>
      <c r="H37" s="36"/>
      <c r="I37" s="34"/>
      <c r="J37" s="34"/>
      <c r="K37" s="34"/>
      <c r="L37" s="34"/>
      <c r="M37" s="34">
        <f>F37+L37</f>
        <v>69874.07993389941</v>
      </c>
      <c r="O37" s="4">
        <f>F37/M37</f>
        <v>1</v>
      </c>
      <c r="P37" s="4">
        <f>L37/M37</f>
        <v>0</v>
      </c>
    </row>
    <row r="38" spans="1:16" ht="12.75">
      <c r="A38" s="45">
        <v>1254</v>
      </c>
      <c r="B38" s="20"/>
      <c r="C38" s="34">
        <v>10852.99</v>
      </c>
      <c r="D38" s="34">
        <v>11576.3</v>
      </c>
      <c r="E38" s="34">
        <f>C38+D38</f>
        <v>22429.29</v>
      </c>
      <c r="F38" s="34">
        <f>3.115305029*E38</f>
        <v>69874.07993389941</v>
      </c>
      <c r="G38" s="20"/>
      <c r="H38" s="36"/>
      <c r="I38" s="34"/>
      <c r="J38" s="34"/>
      <c r="K38" s="34"/>
      <c r="L38" s="34"/>
      <c r="M38" s="34">
        <f>F38+L38</f>
        <v>69874.07993389941</v>
      </c>
      <c r="O38" s="4">
        <f>F38/M38</f>
        <v>1</v>
      </c>
      <c r="P38" s="4">
        <f>L38/M38</f>
        <v>0</v>
      </c>
    </row>
    <row r="39" spans="1:16" ht="12.75">
      <c r="A39" s="45">
        <v>1255</v>
      </c>
      <c r="B39" s="20"/>
      <c r="C39" s="34">
        <v>10029.941</v>
      </c>
      <c r="D39" s="34">
        <v>12688.925</v>
      </c>
      <c r="E39" s="34">
        <f>C39+D39</f>
        <v>22718.866</v>
      </c>
      <c r="F39" s="34">
        <f>3.115305029*E39</f>
        <v>70776.19750297711</v>
      </c>
      <c r="G39" s="20"/>
      <c r="H39" s="36"/>
      <c r="I39" s="34"/>
      <c r="J39" s="34"/>
      <c r="K39" s="34"/>
      <c r="L39" s="34"/>
      <c r="M39" s="34">
        <f>F39+L39</f>
        <v>70776.19750297711</v>
      </c>
      <c r="O39" s="4">
        <f>F39/M39</f>
        <v>1</v>
      </c>
      <c r="P39" s="4">
        <f>L39/M39</f>
        <v>0</v>
      </c>
    </row>
    <row r="40" spans="1:16" ht="12.75">
      <c r="A40" s="45"/>
      <c r="B40" s="20"/>
      <c r="C40" s="36"/>
      <c r="D40" s="36"/>
      <c r="E40" s="36"/>
      <c r="F40" s="36"/>
      <c r="G40" s="20"/>
      <c r="H40" s="36"/>
      <c r="I40" s="36"/>
      <c r="J40" s="36"/>
      <c r="K40" s="36"/>
      <c r="L40" s="36"/>
      <c r="M40" s="36"/>
      <c r="O40" s="8"/>
      <c r="P40" s="8"/>
    </row>
    <row r="41" spans="1:16" ht="12.75">
      <c r="A41" s="45" t="s">
        <v>17</v>
      </c>
      <c r="B41" s="20"/>
      <c r="C41" s="36">
        <f>SUM(C35:C40)/5</f>
        <v>11108.8432</v>
      </c>
      <c r="D41" s="36">
        <f>SUM(D35:D40)/5</f>
        <v>10213.235</v>
      </c>
      <c r="E41" s="36">
        <f>SUM(E35:E40)/5</f>
        <v>21322.0782</v>
      </c>
      <c r="F41" s="36">
        <f>SUM(F35:F40)/5</f>
        <v>66424.77744519126</v>
      </c>
      <c r="G41" s="20"/>
      <c r="H41" s="36"/>
      <c r="I41" s="36"/>
      <c r="J41" s="36"/>
      <c r="K41" s="36"/>
      <c r="L41" s="36"/>
      <c r="M41" s="36">
        <f>SUM(M35:M40)/5</f>
        <v>66424.77744519126</v>
      </c>
      <c r="O41" s="4">
        <f>F41/M41</f>
        <v>1</v>
      </c>
      <c r="P41" s="4">
        <f>L41/M41</f>
        <v>0</v>
      </c>
    </row>
    <row r="42" spans="1:16" ht="12.75">
      <c r="A42" s="45"/>
      <c r="B42" s="20"/>
      <c r="C42" s="36"/>
      <c r="D42" s="36"/>
      <c r="E42" s="36"/>
      <c r="F42" s="36"/>
      <c r="G42" s="20"/>
      <c r="H42" s="36"/>
      <c r="I42" s="36"/>
      <c r="J42" s="36"/>
      <c r="K42" s="36"/>
      <c r="L42" s="36"/>
      <c r="M42" s="36"/>
      <c r="O42" s="8"/>
      <c r="P42" s="8"/>
    </row>
    <row r="43" spans="1:16" ht="12.75">
      <c r="A43" s="45">
        <v>1256</v>
      </c>
      <c r="B43" s="20"/>
      <c r="C43" s="34">
        <v>9967.097</v>
      </c>
      <c r="D43" s="34">
        <v>12458.17</v>
      </c>
      <c r="E43" s="34">
        <f>C43+D43</f>
        <v>22425.267</v>
      </c>
      <c r="F43" s="34">
        <f>3.115305029*E43</f>
        <v>69861.54706176773</v>
      </c>
      <c r="G43" s="20"/>
      <c r="H43" s="36"/>
      <c r="I43" s="34"/>
      <c r="J43" s="34"/>
      <c r="K43" s="34"/>
      <c r="L43" s="34"/>
      <c r="M43" s="34">
        <f>F43+L43</f>
        <v>69861.54706176773</v>
      </c>
      <c r="O43" s="4">
        <f>F43/M43</f>
        <v>1</v>
      </c>
      <c r="P43" s="4">
        <f>L43/M43</f>
        <v>0</v>
      </c>
    </row>
    <row r="44" spans="1:16" ht="12.75">
      <c r="A44" s="45">
        <v>1257</v>
      </c>
      <c r="B44" s="20"/>
      <c r="C44" s="34">
        <v>9636.059</v>
      </c>
      <c r="D44" s="34">
        <v>12211.478</v>
      </c>
      <c r="E44" s="34">
        <f>C44+D44</f>
        <v>21847.536999999997</v>
      </c>
      <c r="F44" s="34">
        <f>3.115305029*E44</f>
        <v>68061.74188736356</v>
      </c>
      <c r="G44" s="20"/>
      <c r="H44" s="36"/>
      <c r="I44" s="34"/>
      <c r="J44" s="34"/>
      <c r="K44" s="34"/>
      <c r="L44" s="34"/>
      <c r="M44" s="34">
        <f>F44+L44</f>
        <v>68061.74188736356</v>
      </c>
      <c r="O44" s="4">
        <f>F44/M44</f>
        <v>1</v>
      </c>
      <c r="P44" s="4">
        <f>L44/M44</f>
        <v>0</v>
      </c>
    </row>
    <row r="45" spans="1:16" ht="12.75">
      <c r="A45" s="45">
        <v>1258</v>
      </c>
      <c r="B45" s="20"/>
      <c r="C45" s="34">
        <v>7516.404</v>
      </c>
      <c r="D45" s="34">
        <v>9266.514</v>
      </c>
      <c r="E45" s="34">
        <f>C45+D45</f>
        <v>16782.917999999998</v>
      </c>
      <c r="F45" s="34">
        <f>3.115305029*E45</f>
        <v>52283.90884669461</v>
      </c>
      <c r="G45" s="20"/>
      <c r="H45" s="36"/>
      <c r="I45" s="34"/>
      <c r="J45" s="34"/>
      <c r="K45" s="34"/>
      <c r="L45" s="34"/>
      <c r="M45" s="34">
        <f>F45+L45</f>
        <v>52283.90884669461</v>
      </c>
      <c r="O45" s="4">
        <f>F45/M45</f>
        <v>1</v>
      </c>
      <c r="P45" s="4">
        <f>L45/M45</f>
        <v>0</v>
      </c>
    </row>
    <row r="46" spans="1:16" ht="12.75">
      <c r="A46" s="45">
        <v>1259</v>
      </c>
      <c r="B46" s="20"/>
      <c r="C46" s="34">
        <v>7156.498</v>
      </c>
      <c r="D46" s="34">
        <v>11343.891</v>
      </c>
      <c r="E46" s="34">
        <f>C46+D46</f>
        <v>18500.389</v>
      </c>
      <c r="F46" s="34">
        <f>3.115305029*E46</f>
        <v>57634.354890156275</v>
      </c>
      <c r="G46" s="20"/>
      <c r="H46" s="36"/>
      <c r="I46" s="34"/>
      <c r="J46" s="34"/>
      <c r="K46" s="34"/>
      <c r="L46" s="34"/>
      <c r="M46" s="34">
        <f>F46+L46</f>
        <v>57634.354890156275</v>
      </c>
      <c r="O46" s="4">
        <f>F46/M46</f>
        <v>1</v>
      </c>
      <c r="P46" s="4">
        <f>L46/M46</f>
        <v>0</v>
      </c>
    </row>
    <row r="47" spans="1:16" ht="12.75">
      <c r="A47" s="45">
        <v>1260</v>
      </c>
      <c r="B47" s="20"/>
      <c r="C47" s="34">
        <v>6311.931</v>
      </c>
      <c r="D47" s="34">
        <v>7760.885</v>
      </c>
      <c r="E47" s="34">
        <f>C47+D47</f>
        <v>14072.815999999999</v>
      </c>
      <c r="F47" s="34">
        <f>3.115305029*E47</f>
        <v>43841.11445699166</v>
      </c>
      <c r="G47" s="20"/>
      <c r="H47" s="36"/>
      <c r="I47" s="34"/>
      <c r="J47" s="34"/>
      <c r="K47" s="34"/>
      <c r="L47" s="34"/>
      <c r="M47" s="34">
        <f>F47+L47</f>
        <v>43841.11445699166</v>
      </c>
      <c r="O47" s="4">
        <f>F47/M47</f>
        <v>1</v>
      </c>
      <c r="P47" s="4">
        <f>L47/M47</f>
        <v>0</v>
      </c>
    </row>
    <row r="48" spans="1:16" ht="12.75">
      <c r="A48" s="45"/>
      <c r="B48" s="20"/>
      <c r="C48" s="36"/>
      <c r="D48" s="36"/>
      <c r="E48" s="36"/>
      <c r="F48" s="36"/>
      <c r="G48" s="20"/>
      <c r="H48" s="36"/>
      <c r="I48" s="36"/>
      <c r="J48" s="36"/>
      <c r="K48" s="36"/>
      <c r="L48" s="36"/>
      <c r="M48" s="36"/>
      <c r="O48" s="8"/>
      <c r="P48" s="8"/>
    </row>
    <row r="49" spans="1:16" ht="12.75">
      <c r="A49" s="45" t="s">
        <v>18</v>
      </c>
      <c r="B49" s="20"/>
      <c r="C49" s="36">
        <f>SUM(C43:C48)/5</f>
        <v>8117.597799999999</v>
      </c>
      <c r="D49" s="36">
        <f>SUM(D43:D48)/5</f>
        <v>10608.187600000001</v>
      </c>
      <c r="E49" s="36">
        <f>SUM(E43:E48)/5</f>
        <v>18725.7854</v>
      </c>
      <c r="F49" s="36">
        <f>SUM(F43:F48)/5</f>
        <v>58336.53342859476</v>
      </c>
      <c r="G49" s="20"/>
      <c r="H49" s="36"/>
      <c r="I49" s="36"/>
      <c r="J49" s="36"/>
      <c r="K49" s="36"/>
      <c r="L49" s="36"/>
      <c r="M49" s="36">
        <f>SUM(M43:M48)/5</f>
        <v>58336.53342859476</v>
      </c>
      <c r="O49" s="4">
        <f>F49/M49</f>
        <v>1</v>
      </c>
      <c r="P49" s="4">
        <f>L49/M49</f>
        <v>0</v>
      </c>
    </row>
    <row r="50" spans="1:16" ht="12.75">
      <c r="A50" s="45"/>
      <c r="B50" s="20"/>
      <c r="C50" s="36"/>
      <c r="D50" s="36"/>
      <c r="E50" s="36"/>
      <c r="F50" s="36"/>
      <c r="G50" s="20"/>
      <c r="H50" s="36"/>
      <c r="I50" s="36"/>
      <c r="J50" s="36"/>
      <c r="K50" s="36"/>
      <c r="L50" s="36"/>
      <c r="M50" s="36"/>
      <c r="O50" s="8"/>
      <c r="P50" s="8"/>
    </row>
    <row r="51" spans="1:16" ht="12.75">
      <c r="A51" s="45">
        <v>1261</v>
      </c>
      <c r="B51" s="20"/>
      <c r="C51" s="34">
        <v>8779.173</v>
      </c>
      <c r="D51" s="34">
        <v>12409.231</v>
      </c>
      <c r="E51" s="34">
        <f>C51+D51</f>
        <v>21188.404000000002</v>
      </c>
      <c r="F51" s="34">
        <f>3.115305029*E51</f>
        <v>66008.34153768372</v>
      </c>
      <c r="G51" s="20"/>
      <c r="H51" s="36"/>
      <c r="I51" s="34"/>
      <c r="J51" s="34"/>
      <c r="K51" s="34"/>
      <c r="L51" s="34"/>
      <c r="M51" s="34">
        <f>F51+L51</f>
        <v>66008.34153768372</v>
      </c>
      <c r="O51" s="4">
        <f>F51/M51</f>
        <v>1</v>
      </c>
      <c r="P51" s="4">
        <f>L51/M51</f>
        <v>0</v>
      </c>
    </row>
    <row r="52" spans="1:16" ht="12.75">
      <c r="A52" s="45">
        <v>1262</v>
      </c>
      <c r="B52" s="20"/>
      <c r="C52" s="34">
        <v>8158.916</v>
      </c>
      <c r="D52" s="34">
        <v>8162.839</v>
      </c>
      <c r="E52" s="34">
        <f>C52+D52</f>
        <v>16321.755000000001</v>
      </c>
      <c r="F52" s="34">
        <f>3.115305029*E52</f>
        <v>50847.245433605895</v>
      </c>
      <c r="G52" s="20"/>
      <c r="H52" s="36"/>
      <c r="I52" s="34"/>
      <c r="J52" s="34"/>
      <c r="K52" s="34"/>
      <c r="L52" s="34"/>
      <c r="M52" s="34">
        <f>F52+L52</f>
        <v>50847.245433605895</v>
      </c>
      <c r="O52" s="4">
        <f>F52/M52</f>
        <v>1</v>
      </c>
      <c r="P52" s="4">
        <f>L52/M52</f>
        <v>0</v>
      </c>
    </row>
    <row r="53" spans="1:16" ht="12.75">
      <c r="A53" s="45">
        <v>1263</v>
      </c>
      <c r="B53" s="20"/>
      <c r="C53" s="34">
        <v>10293.466</v>
      </c>
      <c r="D53" s="34">
        <v>6621.438</v>
      </c>
      <c r="E53" s="34">
        <f>C53+D53</f>
        <v>16914.904000000002</v>
      </c>
      <c r="F53" s="34">
        <f>3.115305029*E53</f>
        <v>52695.08549625222</v>
      </c>
      <c r="G53" s="20"/>
      <c r="H53" s="36"/>
      <c r="I53" s="34"/>
      <c r="J53" s="34"/>
      <c r="K53" s="34"/>
      <c r="L53" s="34"/>
      <c r="M53" s="34">
        <f>F53+L53</f>
        <v>52695.08549625222</v>
      </c>
      <c r="O53" s="4">
        <f>F53/M53</f>
        <v>1</v>
      </c>
      <c r="P53" s="4">
        <f>L53/M53</f>
        <v>0</v>
      </c>
    </row>
    <row r="54" spans="1:16" ht="12.75">
      <c r="A54" s="45">
        <v>1264</v>
      </c>
      <c r="B54" s="20"/>
      <c r="C54" s="34">
        <v>6221.688</v>
      </c>
      <c r="D54" s="34">
        <v>2278.866</v>
      </c>
      <c r="E54" s="34">
        <f>C54+D54</f>
        <v>8500.554</v>
      </c>
      <c r="F54" s="34">
        <f>3.115305029*E54</f>
        <v>26481.818625486067</v>
      </c>
      <c r="G54" s="20"/>
      <c r="H54" s="36"/>
      <c r="I54" s="34"/>
      <c r="J54" s="34"/>
      <c r="K54" s="34"/>
      <c r="L54" s="34"/>
      <c r="M54" s="34">
        <f>F54+L54</f>
        <v>26481.818625486067</v>
      </c>
      <c r="O54" s="4">
        <f>F54/M54</f>
        <v>1</v>
      </c>
      <c r="P54" s="4">
        <f>L54/M54</f>
        <v>0</v>
      </c>
    </row>
    <row r="55" spans="1:16" ht="12.75">
      <c r="A55" s="45">
        <v>1265</v>
      </c>
      <c r="B55" s="20"/>
      <c r="C55" s="34">
        <v>4425.995</v>
      </c>
      <c r="D55" s="34">
        <v>3906.836</v>
      </c>
      <c r="E55" s="34">
        <f>C55+D55</f>
        <v>8332.831</v>
      </c>
      <c r="F55" s="34">
        <f>3.115305029*E55</f>
        <v>25959.3103201071</v>
      </c>
      <c r="G55" s="20"/>
      <c r="H55" s="36"/>
      <c r="I55" s="34"/>
      <c r="J55" s="34"/>
      <c r="K55" s="34"/>
      <c r="L55" s="34"/>
      <c r="M55" s="34">
        <f>F55+L55</f>
        <v>25959.3103201071</v>
      </c>
      <c r="O55" s="4">
        <f>F55/M55</f>
        <v>1</v>
      </c>
      <c r="P55" s="4">
        <f>L55/M55</f>
        <v>0</v>
      </c>
    </row>
    <row r="56" spans="1:16" ht="12.75">
      <c r="A56" s="45"/>
      <c r="B56" s="20"/>
      <c r="C56" s="36"/>
      <c r="D56" s="36"/>
      <c r="E56" s="36"/>
      <c r="F56" s="36"/>
      <c r="G56" s="20"/>
      <c r="H56" s="36"/>
      <c r="I56" s="36"/>
      <c r="J56" s="36"/>
      <c r="K56" s="36"/>
      <c r="L56" s="36"/>
      <c r="M56" s="36"/>
      <c r="O56" s="8"/>
      <c r="P56" s="8"/>
    </row>
    <row r="57" spans="1:16" ht="12.75">
      <c r="A57" s="45" t="s">
        <v>20</v>
      </c>
      <c r="B57" s="20"/>
      <c r="C57" s="36">
        <f>SUM(C51:C56)/5</f>
        <v>7575.847600000001</v>
      </c>
      <c r="D57" s="36">
        <f>SUM(D51:D56)/5</f>
        <v>6675.8420000000015</v>
      </c>
      <c r="E57" s="36">
        <f>SUM(E51:E56)/5</f>
        <v>14251.689600000002</v>
      </c>
      <c r="F57" s="36">
        <f>SUM(F51:F56)/5</f>
        <v>44398.36028262701</v>
      </c>
      <c r="G57" s="20"/>
      <c r="H57" s="36"/>
      <c r="I57" s="36"/>
      <c r="J57" s="36"/>
      <c r="K57" s="36"/>
      <c r="L57" s="36"/>
      <c r="M57" s="36">
        <f>SUM(M51:M56)/5</f>
        <v>44398.36028262701</v>
      </c>
      <c r="O57" s="4">
        <f>F57/M57</f>
        <v>1</v>
      </c>
      <c r="P57" s="4">
        <f>L57/M57</f>
        <v>0</v>
      </c>
    </row>
    <row r="58" spans="1:16" ht="12.75">
      <c r="A58" s="45"/>
      <c r="B58" s="20"/>
      <c r="C58" s="36"/>
      <c r="D58" s="36"/>
      <c r="E58" s="36"/>
      <c r="F58" s="36"/>
      <c r="G58" s="20"/>
      <c r="H58" s="36"/>
      <c r="I58" s="36"/>
      <c r="J58" s="36"/>
      <c r="K58" s="36"/>
      <c r="L58" s="36"/>
      <c r="M58" s="36"/>
      <c r="O58" s="8"/>
      <c r="P58" s="8"/>
    </row>
    <row r="59" spans="1:16" ht="12.75">
      <c r="A59" s="45">
        <v>1266</v>
      </c>
      <c r="B59" s="20"/>
      <c r="C59" s="34">
        <v>9855.819</v>
      </c>
      <c r="D59" s="34">
        <v>5224.364</v>
      </c>
      <c r="E59" s="34">
        <f>C59+D59</f>
        <v>15080.182999999999</v>
      </c>
      <c r="F59" s="34">
        <f>3.115305029*E59</f>
        <v>46979.369938140306</v>
      </c>
      <c r="G59" s="20"/>
      <c r="H59" s="36"/>
      <c r="I59" s="34"/>
      <c r="J59" s="34"/>
      <c r="K59" s="34"/>
      <c r="L59" s="34"/>
      <c r="M59" s="34">
        <f>F59+L59</f>
        <v>46979.369938140306</v>
      </c>
      <c r="O59" s="4">
        <f>F59/M59</f>
        <v>1</v>
      </c>
      <c r="P59" s="4">
        <f>L59/M59</f>
        <v>0</v>
      </c>
    </row>
    <row r="60" spans="1:16" ht="12.75">
      <c r="A60" s="45">
        <v>1267</v>
      </c>
      <c r="B60" s="20"/>
      <c r="C60" s="34">
        <v>5063.293</v>
      </c>
      <c r="D60" s="34">
        <v>1854.773</v>
      </c>
      <c r="E60" s="34">
        <f>C60+D60</f>
        <v>6918.066</v>
      </c>
      <c r="F60" s="34">
        <f>3.115305029*E60</f>
        <v>21551.885800753913</v>
      </c>
      <c r="G60" s="20"/>
      <c r="H60" s="36"/>
      <c r="I60" s="34"/>
      <c r="J60" s="34"/>
      <c r="K60" s="34"/>
      <c r="L60" s="34"/>
      <c r="M60" s="34">
        <f>F60+L60</f>
        <v>21551.885800753913</v>
      </c>
      <c r="O60" s="4">
        <f>F60/M60</f>
        <v>1</v>
      </c>
      <c r="P60" s="4">
        <f>L60/M60</f>
        <v>0</v>
      </c>
    </row>
    <row r="61" spans="1:16" ht="12.75">
      <c r="A61" s="45">
        <v>1268</v>
      </c>
      <c r="B61" s="20"/>
      <c r="C61" s="34">
        <v>5063.293</v>
      </c>
      <c r="D61" s="34">
        <v>1854.773</v>
      </c>
      <c r="E61" s="34">
        <f>C61+D61</f>
        <v>6918.066</v>
      </c>
      <c r="F61" s="34">
        <f>3.115305029*E61</f>
        <v>21551.885800753913</v>
      </c>
      <c r="G61" s="20"/>
      <c r="H61" s="36"/>
      <c r="I61" s="34"/>
      <c r="J61" s="34"/>
      <c r="K61" s="34"/>
      <c r="L61" s="34"/>
      <c r="M61" s="34">
        <f>F61+L61</f>
        <v>21551.885800753913</v>
      </c>
      <c r="O61" s="4">
        <f>F61/M61</f>
        <v>1</v>
      </c>
      <c r="P61" s="4">
        <f>L61/M61</f>
        <v>0</v>
      </c>
    </row>
    <row r="62" spans="1:16" ht="12.75">
      <c r="A62" s="45">
        <v>1269</v>
      </c>
      <c r="B62" s="20"/>
      <c r="C62" s="34">
        <v>5063.293</v>
      </c>
      <c r="D62" s="34">
        <v>1854.773</v>
      </c>
      <c r="E62" s="34">
        <f>C62+D62</f>
        <v>6918.066</v>
      </c>
      <c r="F62" s="34">
        <f>3.115305029*E62</f>
        <v>21551.885800753913</v>
      </c>
      <c r="G62" s="20"/>
      <c r="H62" s="36"/>
      <c r="I62" s="34"/>
      <c r="J62" s="34"/>
      <c r="K62" s="34"/>
      <c r="L62" s="34"/>
      <c r="M62" s="34">
        <f>F62+L62</f>
        <v>21551.885800753913</v>
      </c>
      <c r="O62" s="4">
        <f>F62/M62</f>
        <v>1</v>
      </c>
      <c r="P62" s="4">
        <f>L62/M62</f>
        <v>0</v>
      </c>
    </row>
    <row r="63" spans="1:16" ht="12.75">
      <c r="A63" s="45">
        <v>1270</v>
      </c>
      <c r="B63" s="20"/>
      <c r="C63" s="34">
        <v>5063.293</v>
      </c>
      <c r="D63" s="34">
        <v>1854.773</v>
      </c>
      <c r="E63" s="34">
        <f>C63+D63</f>
        <v>6918.066</v>
      </c>
      <c r="F63" s="34">
        <f>3.115305029*E63</f>
        <v>21551.885800753913</v>
      </c>
      <c r="G63" s="20"/>
      <c r="H63" s="36"/>
      <c r="I63" s="34"/>
      <c r="J63" s="34"/>
      <c r="K63" s="34"/>
      <c r="L63" s="34"/>
      <c r="M63" s="34">
        <f>F63+L63</f>
        <v>21551.885800753913</v>
      </c>
      <c r="O63" s="4">
        <f>F63/M63</f>
        <v>1</v>
      </c>
      <c r="P63" s="4">
        <f>L63/M63</f>
        <v>0</v>
      </c>
    </row>
    <row r="64" spans="1:16" ht="12.75">
      <c r="A64" s="45"/>
      <c r="B64" s="20"/>
      <c r="C64" s="36"/>
      <c r="D64" s="36"/>
      <c r="E64" s="36"/>
      <c r="F64" s="36"/>
      <c r="G64" s="20"/>
      <c r="H64" s="36"/>
      <c r="I64" s="36"/>
      <c r="J64" s="36"/>
      <c r="K64" s="36"/>
      <c r="L64" s="36"/>
      <c r="M64" s="36"/>
      <c r="O64" s="8"/>
      <c r="P64" s="8"/>
    </row>
    <row r="65" spans="1:16" ht="12.75">
      <c r="A65" s="45" t="s">
        <v>21</v>
      </c>
      <c r="B65" s="20"/>
      <c r="C65" s="36">
        <f>SUM(C59:C64)/5</f>
        <v>6021.798199999999</v>
      </c>
      <c r="D65" s="36">
        <f>SUM(D59:D64)/5</f>
        <v>2528.6911999999998</v>
      </c>
      <c r="E65" s="36">
        <f>SUM(E59:E64)/5</f>
        <v>8550.4894</v>
      </c>
      <c r="F65" s="36">
        <f>SUM(F59:F64)/5</f>
        <v>26637.382628231193</v>
      </c>
      <c r="G65" s="20"/>
      <c r="H65" s="36"/>
      <c r="I65" s="36"/>
      <c r="J65" s="36"/>
      <c r="K65" s="36"/>
      <c r="L65" s="36"/>
      <c r="M65" s="36">
        <f>SUM(M59:M64)/5</f>
        <v>26637.382628231193</v>
      </c>
      <c r="O65" s="4">
        <f>F65/M65</f>
        <v>1</v>
      </c>
      <c r="P65" s="4">
        <f>L65/M65</f>
        <v>0</v>
      </c>
    </row>
    <row r="66" spans="1:16" ht="12.75">
      <c r="A66" s="45"/>
      <c r="B66" s="20"/>
      <c r="C66" s="36"/>
      <c r="D66" s="36"/>
      <c r="E66" s="36"/>
      <c r="F66" s="36"/>
      <c r="G66" s="20"/>
      <c r="H66" s="36"/>
      <c r="I66" s="36"/>
      <c r="J66" s="36"/>
      <c r="K66" s="36"/>
      <c r="L66" s="36"/>
      <c r="M66" s="36"/>
      <c r="O66" s="8"/>
      <c r="P66" s="8"/>
    </row>
    <row r="67" spans="1:16" ht="12.75">
      <c r="A67" s="45">
        <v>1271</v>
      </c>
      <c r="B67" s="20"/>
      <c r="C67" s="34">
        <v>3621.734</v>
      </c>
      <c r="D67" s="34">
        <v>544.482</v>
      </c>
      <c r="E67" s="34">
        <f>C67+D67</f>
        <v>4166.216</v>
      </c>
      <c r="F67" s="34">
        <f>3.115305029*E67</f>
        <v>12979.033656700265</v>
      </c>
      <c r="G67" s="20"/>
      <c r="H67" s="36"/>
      <c r="I67" s="34"/>
      <c r="J67" s="34"/>
      <c r="K67" s="34"/>
      <c r="L67" s="34"/>
      <c r="M67" s="34">
        <f>F67+L67</f>
        <v>12979.033656700265</v>
      </c>
      <c r="O67" s="4">
        <f>F67/M67</f>
        <v>1</v>
      </c>
      <c r="P67" s="4">
        <f>L67/M67</f>
        <v>0</v>
      </c>
    </row>
    <row r="68" spans="1:16" ht="12.75">
      <c r="A68" s="45">
        <v>1272</v>
      </c>
      <c r="B68" s="20"/>
      <c r="C68" s="34">
        <v>3141.216</v>
      </c>
      <c r="D68" s="34">
        <v>107.718</v>
      </c>
      <c r="E68" s="34">
        <f>C68+D68</f>
        <v>3248.9339999999997</v>
      </c>
      <c r="F68" s="34">
        <f>3.115305029*E68</f>
        <v>10121.420429089085</v>
      </c>
      <c r="G68" s="20"/>
      <c r="H68" s="36"/>
      <c r="I68" s="34"/>
      <c r="J68" s="34"/>
      <c r="K68" s="34"/>
      <c r="L68" s="34"/>
      <c r="M68" s="34">
        <f>F68+L68</f>
        <v>10121.420429089085</v>
      </c>
      <c r="O68" s="4">
        <f>F68/M68</f>
        <v>1</v>
      </c>
      <c r="P68" s="4">
        <f>L68/M68</f>
        <v>0</v>
      </c>
    </row>
    <row r="69" spans="1:16" ht="12.75">
      <c r="A69" s="45">
        <v>1273</v>
      </c>
      <c r="B69" s="20"/>
      <c r="C69" s="34">
        <v>2341.593</v>
      </c>
      <c r="D69" s="34">
        <v>195.157</v>
      </c>
      <c r="E69" s="34">
        <f>C69+D69</f>
        <v>2536.75</v>
      </c>
      <c r="F69" s="34">
        <f>3.115305029*E69</f>
        <v>7902.75003231575</v>
      </c>
      <c r="G69" s="20"/>
      <c r="H69" s="36"/>
      <c r="I69" s="34"/>
      <c r="J69" s="34"/>
      <c r="K69" s="34"/>
      <c r="L69" s="34"/>
      <c r="M69" s="34">
        <f>F69+L69</f>
        <v>7902.75003231575</v>
      </c>
      <c r="O69" s="4">
        <f>F69/M69</f>
        <v>1</v>
      </c>
      <c r="P69" s="4">
        <f>L69/M69</f>
        <v>0</v>
      </c>
    </row>
    <row r="70" spans="1:16" ht="12.75">
      <c r="A70" s="45">
        <v>1274</v>
      </c>
      <c r="B70" s="20"/>
      <c r="C70" s="34">
        <v>4292.649</v>
      </c>
      <c r="D70" s="34">
        <v>167.626</v>
      </c>
      <c r="E70" s="34">
        <f>C70+D70</f>
        <v>4460.275000000001</v>
      </c>
      <c r="F70" s="34">
        <f>3.115305029*E70</f>
        <v>13895.117138222977</v>
      </c>
      <c r="G70" s="20"/>
      <c r="H70" s="36"/>
      <c r="I70" s="34"/>
      <c r="J70" s="34"/>
      <c r="K70" s="34"/>
      <c r="L70" s="34"/>
      <c r="M70" s="34">
        <f>F70+L70</f>
        <v>13895.117138222977</v>
      </c>
      <c r="O70" s="4">
        <f>F70/M70</f>
        <v>1</v>
      </c>
      <c r="P70" s="4">
        <f>L70/M70</f>
        <v>0</v>
      </c>
    </row>
    <row r="71" spans="1:16" ht="12.75">
      <c r="A71" s="45">
        <v>1275</v>
      </c>
      <c r="B71" s="20"/>
      <c r="C71" s="34">
        <v>3386.267</v>
      </c>
      <c r="D71" s="34"/>
      <c r="E71" s="34">
        <f>C71+D71</f>
        <v>3386.267</v>
      </c>
      <c r="F71" s="34">
        <f>3.115305029*E71</f>
        <v>10549.254614636742</v>
      </c>
      <c r="G71" s="20"/>
      <c r="H71" s="36"/>
      <c r="I71" s="34"/>
      <c r="J71" s="34"/>
      <c r="K71" s="34"/>
      <c r="L71" s="34"/>
      <c r="M71" s="34">
        <f>F71+L71</f>
        <v>10549.254614636742</v>
      </c>
      <c r="O71" s="4">
        <f>F71/M71</f>
        <v>1</v>
      </c>
      <c r="P71" s="4">
        <f>L71/M71</f>
        <v>0</v>
      </c>
    </row>
    <row r="72" spans="1:16" ht="12.75">
      <c r="A72" s="45"/>
      <c r="B72" s="20"/>
      <c r="C72" s="36"/>
      <c r="D72" s="36"/>
      <c r="E72" s="36"/>
      <c r="F72" s="36"/>
      <c r="G72" s="20"/>
      <c r="H72" s="36"/>
      <c r="I72" s="36"/>
      <c r="J72" s="36"/>
      <c r="K72" s="36"/>
      <c r="L72" s="36"/>
      <c r="M72" s="36"/>
      <c r="O72" s="8"/>
      <c r="P72" s="8"/>
    </row>
    <row r="73" spans="1:16" ht="12.75">
      <c r="A73" s="45" t="s">
        <v>22</v>
      </c>
      <c r="B73" s="20"/>
      <c r="C73" s="36">
        <f>SUM(C67:C72)/5</f>
        <v>3356.6917999999996</v>
      </c>
      <c r="D73" s="36">
        <f>SUM(D67:D72)/5</f>
        <v>202.9966</v>
      </c>
      <c r="E73" s="36">
        <f>SUM(E67:E72)/5</f>
        <v>3559.6884</v>
      </c>
      <c r="F73" s="36">
        <f>SUM(F67:F72)/5</f>
        <v>11089.515174192964</v>
      </c>
      <c r="G73" s="20"/>
      <c r="H73" s="36"/>
      <c r="I73" s="36"/>
      <c r="J73" s="36"/>
      <c r="K73" s="36"/>
      <c r="L73" s="36"/>
      <c r="M73" s="36">
        <f>SUM(M67:M72)/5</f>
        <v>11089.515174192964</v>
      </c>
      <c r="O73" s="4">
        <f>F73/M73</f>
        <v>1</v>
      </c>
      <c r="P73" s="4">
        <f>L73/M73</f>
        <v>0</v>
      </c>
    </row>
    <row r="74" spans="1:16" ht="12.75">
      <c r="A74" s="45"/>
      <c r="B74" s="20"/>
      <c r="C74" s="36"/>
      <c r="D74" s="36"/>
      <c r="E74" s="36"/>
      <c r="F74" s="36"/>
      <c r="G74" s="20"/>
      <c r="H74" s="36"/>
      <c r="I74" s="36"/>
      <c r="J74" s="36"/>
      <c r="K74" s="36"/>
      <c r="L74" s="36"/>
      <c r="M74" s="36"/>
      <c r="O74" s="8"/>
      <c r="P74" s="8"/>
    </row>
    <row r="75" spans="1:16" ht="12.75">
      <c r="A75" s="45">
        <v>1276</v>
      </c>
      <c r="B75" s="20"/>
      <c r="C75" s="34">
        <v>5671.606</v>
      </c>
      <c r="D75" s="34"/>
      <c r="E75" s="34">
        <f>C75+D75</f>
        <v>5671.606</v>
      </c>
      <c r="F75" s="34">
        <f>3.115305029*E75</f>
        <v>17668.782694306574</v>
      </c>
      <c r="G75" s="20"/>
      <c r="H75" s="36"/>
      <c r="I75" s="34"/>
      <c r="J75" s="34"/>
      <c r="K75" s="34"/>
      <c r="L75" s="34"/>
      <c r="M75" s="34">
        <f>F75+L75</f>
        <v>17668.782694306574</v>
      </c>
      <c r="O75" s="4">
        <f>F75/M75</f>
        <v>1</v>
      </c>
      <c r="P75" s="4">
        <f>L75/M75</f>
        <v>0</v>
      </c>
    </row>
    <row r="76" spans="1:16" ht="12.75">
      <c r="A76" s="45">
        <v>1277</v>
      </c>
      <c r="B76" s="20"/>
      <c r="C76" s="34">
        <v>5671.606</v>
      </c>
      <c r="D76" s="34"/>
      <c r="E76" s="34">
        <f>C76+D76</f>
        <v>5671.606</v>
      </c>
      <c r="F76" s="34">
        <f>3.115305029*E76</f>
        <v>17668.782694306574</v>
      </c>
      <c r="G76" s="20"/>
      <c r="H76" s="36"/>
      <c r="I76" s="34"/>
      <c r="J76" s="34"/>
      <c r="K76" s="34"/>
      <c r="L76" s="34"/>
      <c r="M76" s="34">
        <f>F76+L76</f>
        <v>17668.782694306574</v>
      </c>
      <c r="O76" s="4">
        <f>F76/M76</f>
        <v>1</v>
      </c>
      <c r="P76" s="4">
        <f>L76/M76</f>
        <v>0</v>
      </c>
    </row>
    <row r="77" spans="1:16" ht="12.75">
      <c r="A77" s="45">
        <v>1278</v>
      </c>
      <c r="B77" s="20"/>
      <c r="C77" s="34">
        <v>5671.606</v>
      </c>
      <c r="D77" s="34">
        <v>205.282</v>
      </c>
      <c r="E77" s="34">
        <f>C77+D77</f>
        <v>5876.888</v>
      </c>
      <c r="F77" s="34">
        <f>3.115305029*E77</f>
        <v>18308.29874126975</v>
      </c>
      <c r="G77" s="20"/>
      <c r="H77" s="36"/>
      <c r="I77" s="34"/>
      <c r="J77" s="34"/>
      <c r="K77" s="34"/>
      <c r="L77" s="34"/>
      <c r="M77" s="34">
        <f>F77+L77</f>
        <v>18308.29874126975</v>
      </c>
      <c r="O77" s="4">
        <f>F77/M77</f>
        <v>1</v>
      </c>
      <c r="P77" s="4">
        <f>L77/M77</f>
        <v>0</v>
      </c>
    </row>
    <row r="78" spans="1:16" ht="12.75">
      <c r="A78" s="45">
        <v>1279</v>
      </c>
      <c r="B78" s="20"/>
      <c r="C78" s="34">
        <v>23333.695</v>
      </c>
      <c r="D78" s="34">
        <v>54.755</v>
      </c>
      <c r="E78" s="34">
        <f>C78+D78</f>
        <v>23388.45</v>
      </c>
      <c r="F78" s="34">
        <v>73150.363</v>
      </c>
      <c r="G78" s="20"/>
      <c r="H78" s="36"/>
      <c r="I78" s="34"/>
      <c r="J78" s="34"/>
      <c r="K78" s="34"/>
      <c r="L78" s="34"/>
      <c r="M78" s="34">
        <f>F78+L78</f>
        <v>73150.363</v>
      </c>
      <c r="O78" s="4">
        <f>F78/M78</f>
        <v>1</v>
      </c>
      <c r="P78" s="4">
        <f>L78/M78</f>
        <v>0</v>
      </c>
    </row>
    <row r="79" spans="1:16" ht="12.75">
      <c r="A79" s="45">
        <v>1280</v>
      </c>
      <c r="B79" s="20"/>
      <c r="C79" s="34">
        <v>59682.252</v>
      </c>
      <c r="D79" s="34">
        <v>10681.137</v>
      </c>
      <c r="E79" s="34">
        <f>C79+D79</f>
        <v>70363.389</v>
      </c>
      <c r="F79" s="34">
        <v>219971.71</v>
      </c>
      <c r="G79" s="20"/>
      <c r="H79" s="36"/>
      <c r="I79" s="34"/>
      <c r="J79" s="34"/>
      <c r="K79" s="34"/>
      <c r="L79" s="34"/>
      <c r="M79" s="34">
        <f>F79+L79</f>
        <v>219971.71</v>
      </c>
      <c r="O79" s="4">
        <f>F79/M79</f>
        <v>1</v>
      </c>
      <c r="P79" s="4">
        <f>L79/M79</f>
        <v>0</v>
      </c>
    </row>
    <row r="80" spans="1:16" ht="12.75">
      <c r="A80" s="45"/>
      <c r="B80" s="20"/>
      <c r="C80" s="36"/>
      <c r="D80" s="36"/>
      <c r="E80" s="36"/>
      <c r="F80" s="36"/>
      <c r="G80" s="20"/>
      <c r="H80" s="36"/>
      <c r="I80" s="36"/>
      <c r="J80" s="36"/>
      <c r="K80" s="36"/>
      <c r="L80" s="36"/>
      <c r="M80" s="36"/>
      <c r="O80" s="8"/>
      <c r="P80" s="8"/>
    </row>
    <row r="81" spans="1:16" ht="12.75">
      <c r="A81" s="45" t="s">
        <v>24</v>
      </c>
      <c r="B81" s="20"/>
      <c r="C81" s="36">
        <f>SUM(C75:C80)/5</f>
        <v>20006.153</v>
      </c>
      <c r="D81" s="36">
        <f>SUM(D75:D80)/5</f>
        <v>2188.2348</v>
      </c>
      <c r="E81" s="36">
        <f>SUM(E75:E80)/5</f>
        <v>22194.3878</v>
      </c>
      <c r="F81" s="36">
        <f>SUM(F75:F80)/5</f>
        <v>69353.58742597657</v>
      </c>
      <c r="G81" s="20"/>
      <c r="H81" s="36"/>
      <c r="I81" s="36"/>
      <c r="J81" s="36"/>
      <c r="K81" s="36"/>
      <c r="L81" s="36"/>
      <c r="M81" s="36">
        <f>SUM(M75:M80)/5</f>
        <v>69353.58742597657</v>
      </c>
      <c r="O81" s="4">
        <f>F81/M81</f>
        <v>1</v>
      </c>
      <c r="P81" s="4">
        <f>L81/M81</f>
        <v>0</v>
      </c>
    </row>
    <row r="82" spans="1:16" ht="12.75">
      <c r="A82" s="45"/>
      <c r="B82" s="20"/>
      <c r="C82" s="36"/>
      <c r="D82" s="36"/>
      <c r="E82" s="36"/>
      <c r="F82" s="36"/>
      <c r="G82" s="20"/>
      <c r="H82" s="36"/>
      <c r="I82" s="36"/>
      <c r="J82" s="36"/>
      <c r="K82" s="36"/>
      <c r="L82" s="36"/>
      <c r="M82" s="36"/>
      <c r="O82" s="8"/>
      <c r="P82" s="8"/>
    </row>
    <row r="83" spans="1:16" ht="12.75">
      <c r="A83" s="45">
        <v>1281</v>
      </c>
      <c r="B83" s="20"/>
      <c r="C83" s="34">
        <v>33797.124</v>
      </c>
      <c r="D83" s="34">
        <v>8040.307</v>
      </c>
      <c r="E83" s="34">
        <f>C83+D83</f>
        <v>41837.431000000004</v>
      </c>
      <c r="F83" s="34">
        <f>3.1281782*E83</f>
        <v>130874.9395982042</v>
      </c>
      <c r="G83" s="20"/>
      <c r="H83" s="36"/>
      <c r="I83" s="34"/>
      <c r="J83" s="34"/>
      <c r="K83" s="34"/>
      <c r="L83" s="34"/>
      <c r="M83" s="34">
        <f>F83+L83</f>
        <v>130874.9395982042</v>
      </c>
      <c r="O83" s="4">
        <f>F83/M83</f>
        <v>1</v>
      </c>
      <c r="P83" s="4">
        <f>L83/M83</f>
        <v>0</v>
      </c>
    </row>
    <row r="84" spans="1:16" ht="12.75">
      <c r="A84" s="45">
        <v>1282</v>
      </c>
      <c r="B84" s="20"/>
      <c r="C84" s="34">
        <v>12268.066</v>
      </c>
      <c r="D84" s="34">
        <v>7035.817</v>
      </c>
      <c r="E84" s="34">
        <f>C84+D84</f>
        <v>19303.883</v>
      </c>
      <c r="F84" s="34">
        <f>3.1281782*E84</f>
        <v>60385.9859759506</v>
      </c>
      <c r="G84" s="20"/>
      <c r="H84" s="36"/>
      <c r="I84" s="34"/>
      <c r="J84" s="34"/>
      <c r="K84" s="34"/>
      <c r="L84" s="34"/>
      <c r="M84" s="34">
        <f>F84+L84</f>
        <v>60385.9859759506</v>
      </c>
      <c r="O84" s="4">
        <f>F84/M84</f>
        <v>1</v>
      </c>
      <c r="P84" s="4">
        <f>L84/M84</f>
        <v>0</v>
      </c>
    </row>
    <row r="85" spans="1:16" ht="12.75">
      <c r="A85" s="45">
        <v>1283</v>
      </c>
      <c r="B85" s="20"/>
      <c r="C85" s="34">
        <v>12268.066</v>
      </c>
      <c r="D85" s="34">
        <v>5261.421</v>
      </c>
      <c r="E85" s="34">
        <f>C85+D85</f>
        <v>17529.487</v>
      </c>
      <c r="F85" s="34">
        <f>3.1281782*E85</f>
        <v>54835.3590905834</v>
      </c>
      <c r="G85" s="20"/>
      <c r="H85" s="36"/>
      <c r="I85" s="34"/>
      <c r="J85" s="34"/>
      <c r="K85" s="34"/>
      <c r="L85" s="34"/>
      <c r="M85" s="34">
        <f>F85+L85</f>
        <v>54835.3590905834</v>
      </c>
      <c r="O85" s="4">
        <f>F85/M85</f>
        <v>1</v>
      </c>
      <c r="P85" s="4">
        <f>L85/M85</f>
        <v>0</v>
      </c>
    </row>
    <row r="86" spans="1:16" ht="12.75">
      <c r="A86" s="45">
        <v>1284</v>
      </c>
      <c r="B86" s="20"/>
      <c r="C86" s="34">
        <v>7950.148</v>
      </c>
      <c r="D86" s="34">
        <v>5098.848</v>
      </c>
      <c r="E86" s="34">
        <f>C86+D86</f>
        <v>13048.996</v>
      </c>
      <c r="F86" s="34">
        <f>3.1281782*E86</f>
        <v>40819.5848190872</v>
      </c>
      <c r="G86" s="20"/>
      <c r="H86" s="36"/>
      <c r="I86" s="34"/>
      <c r="J86" s="34"/>
      <c r="K86" s="34"/>
      <c r="L86" s="34"/>
      <c r="M86" s="34">
        <f>F86+L86</f>
        <v>40819.5848190872</v>
      </c>
      <c r="O86" s="4">
        <f>F86/M86</f>
        <v>1</v>
      </c>
      <c r="P86" s="4">
        <f>L86/M86</f>
        <v>0</v>
      </c>
    </row>
    <row r="87" spans="1:16" ht="12.75">
      <c r="A87" s="45">
        <v>1285</v>
      </c>
      <c r="B87" s="20"/>
      <c r="C87" s="34">
        <v>11780.462</v>
      </c>
      <c r="D87" s="34">
        <v>6066.284</v>
      </c>
      <c r="E87" s="34">
        <f>C87+D87</f>
        <v>17846.746</v>
      </c>
      <c r="F87" s="34">
        <f>3.1281782*E87</f>
        <v>55827.8017781372</v>
      </c>
      <c r="G87" s="20"/>
      <c r="H87" s="36"/>
      <c r="I87" s="34"/>
      <c r="J87" s="34"/>
      <c r="K87" s="34"/>
      <c r="L87" s="34"/>
      <c r="M87" s="34">
        <f>F87+L87</f>
        <v>55827.8017781372</v>
      </c>
      <c r="O87" s="4">
        <f>F87/M87</f>
        <v>1</v>
      </c>
      <c r="P87" s="4">
        <f>L87/M87</f>
        <v>0</v>
      </c>
    </row>
    <row r="88" spans="1:16" ht="12.75">
      <c r="A88" s="45"/>
      <c r="B88" s="20"/>
      <c r="C88" s="36"/>
      <c r="D88" s="36"/>
      <c r="E88" s="36"/>
      <c r="F88" s="36"/>
      <c r="G88" s="20"/>
      <c r="H88" s="36"/>
      <c r="I88" s="36"/>
      <c r="J88" s="36"/>
      <c r="K88" s="36"/>
      <c r="L88" s="36"/>
      <c r="M88" s="36"/>
      <c r="O88" s="8"/>
      <c r="P88" s="8"/>
    </row>
    <row r="89" spans="1:16" ht="12.75">
      <c r="A89" s="45" t="s">
        <v>26</v>
      </c>
      <c r="B89" s="20"/>
      <c r="C89" s="36">
        <f>SUM(C83:C88)/5</f>
        <v>15612.7732</v>
      </c>
      <c r="D89" s="36">
        <f>SUM(D83:D88)/5</f>
        <v>6300.535399999999</v>
      </c>
      <c r="E89" s="36">
        <f>SUM(E83:E88)/5</f>
        <v>21913.3086</v>
      </c>
      <c r="F89" s="36">
        <f>SUM(F83:F88)/5</f>
        <v>68548.73425239252</v>
      </c>
      <c r="G89" s="20"/>
      <c r="H89" s="36"/>
      <c r="I89" s="36"/>
      <c r="J89" s="36"/>
      <c r="K89" s="36"/>
      <c r="L89" s="36"/>
      <c r="M89" s="36">
        <f>SUM(M83:M88)/5</f>
        <v>68548.73425239252</v>
      </c>
      <c r="O89" s="4">
        <f>F89/M89</f>
        <v>1</v>
      </c>
      <c r="P89" s="4">
        <f>L89/M89</f>
        <v>0</v>
      </c>
    </row>
    <row r="90" spans="1:16" ht="12.75">
      <c r="A90" s="45"/>
      <c r="B90" s="20"/>
      <c r="C90" s="36"/>
      <c r="D90" s="36"/>
      <c r="E90" s="36"/>
      <c r="F90" s="36"/>
      <c r="G90" s="20"/>
      <c r="H90" s="36"/>
      <c r="I90" s="36"/>
      <c r="J90" s="36"/>
      <c r="K90" s="36"/>
      <c r="L90" s="36"/>
      <c r="M90" s="36"/>
      <c r="O90" s="8"/>
      <c r="P90" s="8"/>
    </row>
    <row r="91" spans="1:16" ht="12.75">
      <c r="A91" s="45">
        <v>1286</v>
      </c>
      <c r="B91" s="20"/>
      <c r="C91" s="34">
        <v>18825.242</v>
      </c>
      <c r="D91" s="34">
        <v>8144.487</v>
      </c>
      <c r="E91" s="34">
        <f>C91+D91</f>
        <v>26969.729</v>
      </c>
      <c r="F91" s="34">
        <f>3.1281782*E91</f>
        <v>84366.11831770779</v>
      </c>
      <c r="G91" s="20"/>
      <c r="H91" s="36"/>
      <c r="I91" s="34"/>
      <c r="J91" s="34"/>
      <c r="K91" s="34"/>
      <c r="L91" s="34"/>
      <c r="M91" s="34">
        <f>F91+L91</f>
        <v>84366.11831770779</v>
      </c>
      <c r="O91" s="4">
        <f>F91/M91</f>
        <v>1</v>
      </c>
      <c r="P91" s="4">
        <f>L91/M91</f>
        <v>0</v>
      </c>
    </row>
    <row r="92" spans="1:16" ht="12.75">
      <c r="A92" s="45">
        <v>1287</v>
      </c>
      <c r="B92" s="20"/>
      <c r="C92" s="34">
        <v>18485.365</v>
      </c>
      <c r="D92" s="34">
        <v>12210.608</v>
      </c>
      <c r="E92" s="34">
        <f>C92+D92</f>
        <v>30695.973</v>
      </c>
      <c r="F92" s="34">
        <f>3.1281782*E92</f>
        <v>96022.4735663886</v>
      </c>
      <c r="G92" s="20"/>
      <c r="H92" s="36"/>
      <c r="I92" s="34"/>
      <c r="J92" s="34"/>
      <c r="K92" s="34"/>
      <c r="L92" s="34"/>
      <c r="M92" s="34">
        <f>F92+L92</f>
        <v>96022.4735663886</v>
      </c>
      <c r="O92" s="4">
        <f>F92/M92</f>
        <v>1</v>
      </c>
      <c r="P92" s="4">
        <f>L92/M92</f>
        <v>0</v>
      </c>
    </row>
    <row r="93" spans="1:16" ht="12.75">
      <c r="A93" s="45">
        <v>1288</v>
      </c>
      <c r="B93" s="20"/>
      <c r="C93" s="34">
        <v>12858.843</v>
      </c>
      <c r="D93" s="34">
        <v>5704.789</v>
      </c>
      <c r="E93" s="34">
        <f>C93+D93</f>
        <v>18563.632</v>
      </c>
      <c r="F93" s="34">
        <f>3.1281782*E93</f>
        <v>58070.3489352224</v>
      </c>
      <c r="G93" s="20"/>
      <c r="H93" s="36"/>
      <c r="I93" s="34"/>
      <c r="J93" s="34"/>
      <c r="K93" s="34"/>
      <c r="L93" s="34"/>
      <c r="M93" s="34">
        <f>F93+L93</f>
        <v>58070.3489352224</v>
      </c>
      <c r="O93" s="4">
        <f>F93/M93</f>
        <v>1</v>
      </c>
      <c r="P93" s="4">
        <f>L93/M93</f>
        <v>0</v>
      </c>
    </row>
    <row r="94" spans="1:16" ht="12.75">
      <c r="A94" s="45">
        <v>1289</v>
      </c>
      <c r="B94" s="20"/>
      <c r="C94" s="34">
        <v>4322.841</v>
      </c>
      <c r="D94" s="34">
        <v>1344.331</v>
      </c>
      <c r="E94" s="34">
        <f>C94+D94</f>
        <v>5667.1720000000005</v>
      </c>
      <c r="F94" s="34">
        <f>3.1281782*E94</f>
        <v>17727.9239060504</v>
      </c>
      <c r="G94" s="20"/>
      <c r="H94" s="36"/>
      <c r="I94" s="34"/>
      <c r="J94" s="34"/>
      <c r="K94" s="34"/>
      <c r="L94" s="34"/>
      <c r="M94" s="34">
        <f>F94+L94</f>
        <v>17727.9239060504</v>
      </c>
      <c r="O94" s="4">
        <f>F94/M94</f>
        <v>1</v>
      </c>
      <c r="P94" s="4">
        <f>L94/M94</f>
        <v>0</v>
      </c>
    </row>
    <row r="95" spans="1:16" ht="12.75">
      <c r="A95" s="45">
        <v>1290</v>
      </c>
      <c r="B95" s="20"/>
      <c r="C95" s="34">
        <v>3635.147</v>
      </c>
      <c r="D95" s="34">
        <v>871.328</v>
      </c>
      <c r="E95" s="34">
        <f>C95+D95</f>
        <v>4506.475</v>
      </c>
      <c r="F95" s="34">
        <f>3.1281782*E95</f>
        <v>14097.056853845</v>
      </c>
      <c r="G95" s="20"/>
      <c r="H95" s="36"/>
      <c r="I95" s="34"/>
      <c r="J95" s="34"/>
      <c r="K95" s="34"/>
      <c r="L95" s="34"/>
      <c r="M95" s="34">
        <f>F95+L95</f>
        <v>14097.056853845</v>
      </c>
      <c r="O95" s="4">
        <f>F95/M95</f>
        <v>1</v>
      </c>
      <c r="P95" s="4">
        <f>L95/M95</f>
        <v>0</v>
      </c>
    </row>
    <row r="96" spans="1:16" ht="12.75">
      <c r="A96" s="45"/>
      <c r="B96" s="20"/>
      <c r="C96" s="36"/>
      <c r="D96" s="36"/>
      <c r="E96" s="36"/>
      <c r="F96" s="36"/>
      <c r="G96" s="20"/>
      <c r="H96" s="36"/>
      <c r="I96" s="36"/>
      <c r="J96" s="36"/>
      <c r="K96" s="36"/>
      <c r="L96" s="36"/>
      <c r="M96" s="36"/>
      <c r="O96" s="8"/>
      <c r="P96" s="8"/>
    </row>
    <row r="97" spans="1:16" ht="12.75">
      <c r="A97" s="45" t="s">
        <v>27</v>
      </c>
      <c r="B97" s="20"/>
      <c r="C97" s="36">
        <f>SUM(C91:C96)/5</f>
        <v>11625.4876</v>
      </c>
      <c r="D97" s="36">
        <f>SUM(D91:D96)/5</f>
        <v>5655.1086000000005</v>
      </c>
      <c r="E97" s="36">
        <f>SUM(E91:E96)/5</f>
        <v>17280.596200000004</v>
      </c>
      <c r="F97" s="36">
        <f>SUM(F91:F96)/5</f>
        <v>54056.78431584283</v>
      </c>
      <c r="G97" s="20"/>
      <c r="H97" s="36"/>
      <c r="I97" s="36"/>
      <c r="J97" s="36"/>
      <c r="K97" s="36"/>
      <c r="L97" s="36"/>
      <c r="M97" s="36">
        <f>SUM(M91:M96)/5</f>
        <v>54056.78431584283</v>
      </c>
      <c r="O97" s="4">
        <f>F97/M97</f>
        <v>1</v>
      </c>
      <c r="P97" s="4">
        <f>L97/M97</f>
        <v>0</v>
      </c>
    </row>
    <row r="98" spans="1:16" ht="12.75">
      <c r="A98" s="45"/>
      <c r="B98" s="20"/>
      <c r="C98" s="36"/>
      <c r="D98" s="36"/>
      <c r="E98" s="36"/>
      <c r="F98" s="36"/>
      <c r="G98" s="20"/>
      <c r="H98" s="36"/>
      <c r="I98" s="36"/>
      <c r="J98" s="36"/>
      <c r="K98" s="36"/>
      <c r="L98" s="36"/>
      <c r="M98" s="36"/>
      <c r="O98" s="8"/>
      <c r="P98" s="8"/>
    </row>
    <row r="99" spans="1:16" ht="12.75">
      <c r="A99" s="45">
        <v>1291</v>
      </c>
      <c r="B99" s="20"/>
      <c r="C99" s="34">
        <v>721.786</v>
      </c>
      <c r="D99" s="34">
        <v>276.149</v>
      </c>
      <c r="E99" s="34">
        <f>C99+D99</f>
        <v>997.935</v>
      </c>
      <c r="F99" s="34">
        <f>3.1281782*E99</f>
        <v>3121.7185120169997</v>
      </c>
      <c r="G99" s="20"/>
      <c r="H99" s="36"/>
      <c r="I99" s="34"/>
      <c r="J99" s="34"/>
      <c r="K99" s="34"/>
      <c r="L99" s="34"/>
      <c r="M99" s="34">
        <f>F99+L99</f>
        <v>3121.7185120169997</v>
      </c>
      <c r="O99" s="4">
        <f>F99/M99</f>
        <v>1</v>
      </c>
      <c r="P99" s="4">
        <f>L99/M99</f>
        <v>0</v>
      </c>
    </row>
    <row r="100" spans="1:16" ht="12.75">
      <c r="A100" s="45">
        <v>1292</v>
      </c>
      <c r="B100" s="20"/>
      <c r="C100" s="34">
        <v>1281.736</v>
      </c>
      <c r="D100" s="34">
        <v>206.256</v>
      </c>
      <c r="E100" s="34">
        <f>C100+D100</f>
        <v>1487.9920000000002</v>
      </c>
      <c r="F100" s="34">
        <f>3.1281782*E100</f>
        <v>4654.7041361744</v>
      </c>
      <c r="G100" s="20"/>
      <c r="H100" s="36"/>
      <c r="I100" s="34"/>
      <c r="J100" s="34"/>
      <c r="K100" s="34"/>
      <c r="L100" s="34"/>
      <c r="M100" s="34">
        <f>F100+L100</f>
        <v>4654.7041361744</v>
      </c>
      <c r="O100" s="4">
        <f>F100/M100</f>
        <v>1</v>
      </c>
      <c r="P100" s="4">
        <f>L100/M100</f>
        <v>0</v>
      </c>
    </row>
    <row r="101" spans="1:16" ht="12.75">
      <c r="A101" s="45">
        <v>1293</v>
      </c>
      <c r="B101" s="20"/>
      <c r="C101" s="34">
        <v>822.124</v>
      </c>
      <c r="D101" s="34">
        <v>239.516</v>
      </c>
      <c r="E101" s="34">
        <f>C101+D101</f>
        <v>1061.64</v>
      </c>
      <c r="F101" s="34">
        <f>3.1281782*E101</f>
        <v>3320.999104248</v>
      </c>
      <c r="G101" s="20"/>
      <c r="H101" s="36"/>
      <c r="I101" s="34"/>
      <c r="J101" s="34"/>
      <c r="K101" s="34"/>
      <c r="L101" s="34"/>
      <c r="M101" s="34">
        <f>F101+L101</f>
        <v>3320.999104248</v>
      </c>
      <c r="O101" s="4">
        <f>F101/M101</f>
        <v>1</v>
      </c>
      <c r="P101" s="4">
        <f>L101/M101</f>
        <v>0</v>
      </c>
    </row>
    <row r="102" spans="1:16" ht="12.75">
      <c r="A102" s="45">
        <v>1294</v>
      </c>
      <c r="B102" s="20"/>
      <c r="C102" s="34">
        <v>2039.126</v>
      </c>
      <c r="D102" s="34">
        <v>29.13</v>
      </c>
      <c r="E102" s="34">
        <f>C102+D102</f>
        <v>2068.256</v>
      </c>
      <c r="F102" s="34">
        <f>3.1281782*E102</f>
        <v>6469.873331219199</v>
      </c>
      <c r="G102" s="20"/>
      <c r="H102" s="36"/>
      <c r="I102" s="34"/>
      <c r="J102" s="34"/>
      <c r="K102" s="34"/>
      <c r="L102" s="34"/>
      <c r="M102" s="34">
        <f>F102+L102</f>
        <v>6469.873331219199</v>
      </c>
      <c r="O102" s="4">
        <f>F102/M102</f>
        <v>1</v>
      </c>
      <c r="P102" s="4">
        <f>L102/M102</f>
        <v>0</v>
      </c>
    </row>
    <row r="103" spans="1:16" ht="12.75">
      <c r="A103" s="45">
        <v>1295</v>
      </c>
      <c r="B103" s="20"/>
      <c r="C103" s="34">
        <v>2145.938</v>
      </c>
      <c r="D103" s="34"/>
      <c r="E103" s="34">
        <f>C103+D103</f>
        <v>2145.938</v>
      </c>
      <c r="F103" s="34">
        <f>3.1281782*E103</f>
        <v>6712.8764701516</v>
      </c>
      <c r="G103" s="20"/>
      <c r="H103" s="36"/>
      <c r="I103" s="34"/>
      <c r="J103" s="34"/>
      <c r="K103" s="34"/>
      <c r="L103" s="34"/>
      <c r="M103" s="34">
        <f>F103+L103</f>
        <v>6712.8764701516</v>
      </c>
      <c r="O103" s="4">
        <f>F103/M103</f>
        <v>1</v>
      </c>
      <c r="P103" s="4">
        <f>L103/M103</f>
        <v>0</v>
      </c>
    </row>
    <row r="104" spans="1:16" ht="12.75">
      <c r="A104" s="45"/>
      <c r="B104" s="20"/>
      <c r="C104" s="36"/>
      <c r="D104" s="36"/>
      <c r="E104" s="36"/>
      <c r="F104" s="36"/>
      <c r="G104" s="20"/>
      <c r="H104" s="36"/>
      <c r="I104" s="36"/>
      <c r="J104" s="36"/>
      <c r="K104" s="36"/>
      <c r="L104" s="36"/>
      <c r="M104" s="36"/>
      <c r="O104" s="8"/>
      <c r="P104" s="8"/>
    </row>
    <row r="105" spans="1:16" ht="12.75">
      <c r="A105" s="45" t="s">
        <v>28</v>
      </c>
      <c r="B105" s="20"/>
      <c r="C105" s="36">
        <f>SUM(C99:C104)/5</f>
        <v>1402.142</v>
      </c>
      <c r="D105" s="36">
        <f>SUM(D99:D104)/5</f>
        <v>150.2102</v>
      </c>
      <c r="E105" s="36">
        <f>SUM(E99:E104)/5</f>
        <v>1552.3522</v>
      </c>
      <c r="F105" s="36">
        <f>SUM(F99:F104)/5</f>
        <v>4856.03431076204</v>
      </c>
      <c r="G105" s="20"/>
      <c r="H105" s="36"/>
      <c r="I105" s="36"/>
      <c r="J105" s="36"/>
      <c r="K105" s="36"/>
      <c r="L105" s="36"/>
      <c r="M105" s="36">
        <f>SUM(M99:M104)/5</f>
        <v>4856.03431076204</v>
      </c>
      <c r="O105" s="4">
        <f>F105/M105</f>
        <v>1</v>
      </c>
      <c r="P105" s="4">
        <f>L105/M105</f>
        <v>0</v>
      </c>
    </row>
    <row r="106" spans="1:16" ht="12.75">
      <c r="A106" s="45"/>
      <c r="B106" s="20"/>
      <c r="C106" s="36"/>
      <c r="D106" s="36"/>
      <c r="E106" s="36"/>
      <c r="F106" s="36"/>
      <c r="G106" s="20"/>
      <c r="H106" s="36"/>
      <c r="I106" s="36"/>
      <c r="J106" s="36"/>
      <c r="K106" s="36"/>
      <c r="L106" s="36"/>
      <c r="M106" s="36"/>
      <c r="O106" s="8"/>
      <c r="P106" s="8"/>
    </row>
    <row r="107" spans="1:16" ht="12.75">
      <c r="A107" s="45">
        <v>1296</v>
      </c>
      <c r="B107" s="20"/>
      <c r="C107" s="34">
        <v>1492.122</v>
      </c>
      <c r="D107" s="34"/>
      <c r="E107" s="34">
        <f>C107+D107</f>
        <v>1492.122</v>
      </c>
      <c r="F107" s="34">
        <f>3.1281782*E107</f>
        <v>4667.6235121404</v>
      </c>
      <c r="G107" s="20"/>
      <c r="H107" s="36"/>
      <c r="I107" s="34"/>
      <c r="J107" s="34"/>
      <c r="K107" s="34"/>
      <c r="L107" s="34"/>
      <c r="M107" s="34">
        <f>F107+L107</f>
        <v>4667.6235121404</v>
      </c>
      <c r="O107" s="4">
        <f>F107/M107</f>
        <v>1</v>
      </c>
      <c r="P107" s="4">
        <f>L107/M107</f>
        <v>0</v>
      </c>
    </row>
    <row r="108" spans="1:16" ht="12.75">
      <c r="A108" s="45">
        <v>1297</v>
      </c>
      <c r="B108" s="20"/>
      <c r="C108" s="34">
        <v>2168.594</v>
      </c>
      <c r="D108" s="34"/>
      <c r="E108" s="34">
        <f>C108+D108</f>
        <v>2168.594</v>
      </c>
      <c r="F108" s="34">
        <f>3.1281782*E108</f>
        <v>6783.7484754508</v>
      </c>
      <c r="G108" s="20"/>
      <c r="H108" s="36"/>
      <c r="I108" s="34"/>
      <c r="J108" s="34"/>
      <c r="K108" s="34"/>
      <c r="L108" s="34"/>
      <c r="M108" s="34">
        <f>F108+L108</f>
        <v>6783.7484754508</v>
      </c>
      <c r="O108" s="4">
        <f>F108/M108</f>
        <v>1</v>
      </c>
      <c r="P108" s="4">
        <f>L108/M108</f>
        <v>0</v>
      </c>
    </row>
    <row r="109" spans="1:16" ht="12.75">
      <c r="A109" s="45">
        <v>1298</v>
      </c>
      <c r="B109" s="20"/>
      <c r="C109" s="34">
        <v>624.555</v>
      </c>
      <c r="D109" s="34"/>
      <c r="E109" s="34">
        <f>C109+D109</f>
        <v>624.555</v>
      </c>
      <c r="F109" s="34">
        <f>3.1281782*E109</f>
        <v>1953.7193357009996</v>
      </c>
      <c r="G109" s="20"/>
      <c r="H109" s="36"/>
      <c r="I109" s="34"/>
      <c r="J109" s="34"/>
      <c r="K109" s="34"/>
      <c r="L109" s="34"/>
      <c r="M109" s="34">
        <f>F109+L109</f>
        <v>1953.7193357009996</v>
      </c>
      <c r="O109" s="4">
        <f>F109/M109</f>
        <v>1</v>
      </c>
      <c r="P109" s="4">
        <f>L109/M109</f>
        <v>0</v>
      </c>
    </row>
    <row r="110" spans="1:16" ht="12.75">
      <c r="A110" s="45">
        <v>1299</v>
      </c>
      <c r="B110" s="20"/>
      <c r="C110" s="34">
        <v>4327.608</v>
      </c>
      <c r="D110" s="34"/>
      <c r="E110" s="34">
        <f>C110+D110</f>
        <v>4327.608</v>
      </c>
      <c r="F110" s="34">
        <f>3.1281782*E110</f>
        <v>13537.5290037456</v>
      </c>
      <c r="G110" s="20"/>
      <c r="H110" s="36"/>
      <c r="I110" s="34"/>
      <c r="J110" s="34"/>
      <c r="K110" s="34"/>
      <c r="L110" s="34"/>
      <c r="M110" s="34">
        <f>F110+L110</f>
        <v>13537.5290037456</v>
      </c>
      <c r="O110" s="4">
        <f>F110/M110</f>
        <v>1</v>
      </c>
      <c r="P110" s="4">
        <f>L110/M110</f>
        <v>0</v>
      </c>
    </row>
    <row r="111" spans="1:16" ht="12.75">
      <c r="A111" s="45">
        <v>1300</v>
      </c>
      <c r="B111" s="20"/>
      <c r="C111" s="34">
        <v>34639.251</v>
      </c>
      <c r="D111" s="34">
        <v>17104.957</v>
      </c>
      <c r="E111" s="34">
        <f>C111+D111</f>
        <v>51744.208</v>
      </c>
      <c r="F111" s="34">
        <f>3.1281782*E111</f>
        <v>161865.1034418656</v>
      </c>
      <c r="G111" s="20"/>
      <c r="H111" s="36"/>
      <c r="I111" s="34"/>
      <c r="J111" s="34"/>
      <c r="K111" s="34"/>
      <c r="L111" s="34"/>
      <c r="M111" s="34">
        <f>F111+L111</f>
        <v>161865.1034418656</v>
      </c>
      <c r="O111" s="4">
        <f>F111/M111</f>
        <v>1</v>
      </c>
      <c r="P111" s="4">
        <f>L111/M111</f>
        <v>0</v>
      </c>
    </row>
    <row r="112" spans="1:16" ht="12.75">
      <c r="A112" s="45"/>
      <c r="B112" s="20"/>
      <c r="C112" s="36"/>
      <c r="D112" s="36"/>
      <c r="E112" s="36"/>
      <c r="F112" s="36"/>
      <c r="G112" s="20"/>
      <c r="H112" s="36"/>
      <c r="I112" s="36"/>
      <c r="J112" s="36"/>
      <c r="K112" s="36"/>
      <c r="L112" s="36"/>
      <c r="M112" s="36"/>
      <c r="O112" s="8"/>
      <c r="P112" s="8"/>
    </row>
    <row r="113" spans="1:16" ht="12.75">
      <c r="A113" s="45" t="s">
        <v>29</v>
      </c>
      <c r="B113" s="20"/>
      <c r="C113" s="36">
        <f>SUM(C107:C112)/5</f>
        <v>8650.426</v>
      </c>
      <c r="D113" s="36">
        <f>SUM(D107:D112)/5</f>
        <v>3420.9914</v>
      </c>
      <c r="E113" s="36">
        <f>SUM(E107:E112)/5</f>
        <v>12071.4174</v>
      </c>
      <c r="F113" s="36">
        <f>SUM(F107:F112)/5</f>
        <v>37761.544753780676</v>
      </c>
      <c r="G113" s="20"/>
      <c r="H113" s="36"/>
      <c r="I113" s="36"/>
      <c r="J113" s="36"/>
      <c r="K113" s="36"/>
      <c r="L113" s="36"/>
      <c r="M113" s="36">
        <f>SUM(M107:M112)/5</f>
        <v>37761.544753780676</v>
      </c>
      <c r="O113" s="4">
        <f>F113/M113</f>
        <v>1</v>
      </c>
      <c r="P113" s="4">
        <f>L113/M113</f>
        <v>0</v>
      </c>
    </row>
    <row r="114" spans="1:16" ht="12.75">
      <c r="A114" s="45"/>
      <c r="B114" s="20"/>
      <c r="C114" s="36"/>
      <c r="D114" s="36"/>
      <c r="E114" s="36"/>
      <c r="F114" s="36"/>
      <c r="G114" s="20"/>
      <c r="H114" s="36"/>
      <c r="I114" s="36"/>
      <c r="J114" s="36"/>
      <c r="K114" s="36"/>
      <c r="L114" s="36"/>
      <c r="M114" s="36"/>
      <c r="O114" s="8"/>
      <c r="P114" s="8"/>
    </row>
    <row r="115" spans="1:16" ht="12.75">
      <c r="A115" s="45">
        <v>1301</v>
      </c>
      <c r="B115" s="20"/>
      <c r="C115" s="34">
        <v>13474.092</v>
      </c>
      <c r="D115" s="34">
        <v>14876.957</v>
      </c>
      <c r="E115" s="34">
        <f>C115+D115</f>
        <v>28351.049</v>
      </c>
      <c r="F115" s="34">
        <f>3.1281782*E115</f>
        <v>88687.13342893179</v>
      </c>
      <c r="G115" s="20"/>
      <c r="H115" s="36"/>
      <c r="I115" s="34"/>
      <c r="J115" s="34"/>
      <c r="K115" s="34"/>
      <c r="L115" s="34"/>
      <c r="M115" s="34">
        <f>F115+L115</f>
        <v>88687.13342893179</v>
      </c>
      <c r="O115" s="4">
        <f>F115/M115</f>
        <v>1</v>
      </c>
      <c r="P115" s="4">
        <f>L115/M115</f>
        <v>0</v>
      </c>
    </row>
    <row r="116" spans="1:16" ht="12.75">
      <c r="A116" s="45">
        <v>1302</v>
      </c>
      <c r="B116" s="20"/>
      <c r="C116" s="34">
        <v>2275.406</v>
      </c>
      <c r="D116" s="34">
        <v>1954.971</v>
      </c>
      <c r="E116" s="34">
        <f>C116+D116</f>
        <v>4230.377</v>
      </c>
      <c r="F116" s="34">
        <f>3.1281782*E116</f>
        <v>13233.3731091814</v>
      </c>
      <c r="G116" s="20"/>
      <c r="H116" s="36"/>
      <c r="I116" s="34"/>
      <c r="J116" s="34"/>
      <c r="K116" s="34"/>
      <c r="L116" s="34"/>
      <c r="M116" s="34">
        <f>F116+L116</f>
        <v>13233.3731091814</v>
      </c>
      <c r="O116" s="4">
        <f>F116/M116</f>
        <v>1</v>
      </c>
      <c r="P116" s="4">
        <f>L116/M116</f>
        <v>0</v>
      </c>
    </row>
    <row r="117" spans="1:16" ht="12.75">
      <c r="A117" s="45">
        <v>1303</v>
      </c>
      <c r="B117" s="20"/>
      <c r="C117" s="34">
        <v>1857.871</v>
      </c>
      <c r="D117" s="34">
        <v>1223.476</v>
      </c>
      <c r="E117" s="34">
        <f>C117+D117</f>
        <v>3081.347</v>
      </c>
      <c r="F117" s="34">
        <f>3.1281782*E117</f>
        <v>9639.0025120354</v>
      </c>
      <c r="G117" s="20"/>
      <c r="H117" s="36"/>
      <c r="I117" s="34"/>
      <c r="J117" s="34"/>
      <c r="K117" s="34"/>
      <c r="L117" s="34"/>
      <c r="M117" s="34">
        <f>F117+L117</f>
        <v>9639.0025120354</v>
      </c>
      <c r="O117" s="4">
        <f>F117/M117</f>
        <v>1</v>
      </c>
      <c r="P117" s="4">
        <f>L117/M117</f>
        <v>0</v>
      </c>
    </row>
    <row r="118" spans="1:16" ht="12.75">
      <c r="A118" s="45">
        <v>1304</v>
      </c>
      <c r="B118" s="20"/>
      <c r="C118" s="34">
        <v>5188.443</v>
      </c>
      <c r="D118" s="34">
        <v>4955.4</v>
      </c>
      <c r="E118" s="34">
        <f>C118+D118</f>
        <v>10143.843</v>
      </c>
      <c r="F118" s="34">
        <f>3.1281782*E118</f>
        <v>31731.7485368226</v>
      </c>
      <c r="G118" s="20"/>
      <c r="H118" s="36"/>
      <c r="I118" s="34"/>
      <c r="J118" s="34"/>
      <c r="K118" s="34"/>
      <c r="L118" s="34"/>
      <c r="M118" s="34">
        <f>F118+L118</f>
        <v>31731.7485368226</v>
      </c>
      <c r="O118" s="4">
        <f>F118/M118</f>
        <v>1</v>
      </c>
      <c r="P118" s="4">
        <f>L118/M118</f>
        <v>0</v>
      </c>
    </row>
    <row r="119" spans="1:16" ht="12.75">
      <c r="A119" s="45">
        <v>1305</v>
      </c>
      <c r="B119" s="20"/>
      <c r="C119" s="34">
        <v>22767.497</v>
      </c>
      <c r="D119" s="34">
        <v>11513.21</v>
      </c>
      <c r="E119" s="34">
        <f>C119+D119</f>
        <v>34280.706999999995</v>
      </c>
      <c r="F119" s="34">
        <f>3.1281782*E119</f>
        <v>107236.16031798738</v>
      </c>
      <c r="G119" s="20"/>
      <c r="H119" s="36"/>
      <c r="I119" s="34"/>
      <c r="J119" s="34"/>
      <c r="K119" s="34"/>
      <c r="L119" s="34"/>
      <c r="M119" s="34">
        <f>F119+L119</f>
        <v>107236.16031798738</v>
      </c>
      <c r="O119" s="4">
        <f>F119/M119</f>
        <v>1</v>
      </c>
      <c r="P119" s="4">
        <f>L119/M119</f>
        <v>0</v>
      </c>
    </row>
    <row r="120" spans="1:16" ht="12.75">
      <c r="A120" s="45"/>
      <c r="B120" s="20"/>
      <c r="C120" s="36"/>
      <c r="D120" s="36"/>
      <c r="E120" s="36"/>
      <c r="F120" s="36"/>
      <c r="G120" s="20"/>
      <c r="H120" s="36"/>
      <c r="I120" s="36"/>
      <c r="J120" s="36"/>
      <c r="K120" s="36"/>
      <c r="L120" s="36"/>
      <c r="M120" s="36"/>
      <c r="O120" s="8"/>
      <c r="P120" s="8"/>
    </row>
    <row r="121" spans="1:16" ht="12.75">
      <c r="A121" s="45" t="s">
        <v>30</v>
      </c>
      <c r="B121" s="20"/>
      <c r="C121" s="36">
        <f>SUM(C115:C120)/5</f>
        <v>9112.661799999998</v>
      </c>
      <c r="D121" s="36">
        <f>SUM(D115:D120)/5</f>
        <v>6904.8027999999995</v>
      </c>
      <c r="E121" s="36">
        <f>SUM(E115:E120)/5</f>
        <v>16017.464600000001</v>
      </c>
      <c r="F121" s="36">
        <f>SUM(F115:F120)/5</f>
        <v>50105.48358099171</v>
      </c>
      <c r="G121" s="20"/>
      <c r="H121" s="36"/>
      <c r="I121" s="36"/>
      <c r="J121" s="36"/>
      <c r="K121" s="36"/>
      <c r="L121" s="36"/>
      <c r="M121" s="36">
        <f>SUM(M115:M120)/5</f>
        <v>50105.48358099171</v>
      </c>
      <c r="O121" s="4">
        <f>F121/M121</f>
        <v>1</v>
      </c>
      <c r="P121" s="4">
        <f>L121/M121</f>
        <v>0</v>
      </c>
    </row>
    <row r="122" spans="1:16" ht="12.75">
      <c r="A122" s="45"/>
      <c r="B122" s="20"/>
      <c r="C122" s="36"/>
      <c r="D122" s="36"/>
      <c r="E122" s="36"/>
      <c r="F122" s="36"/>
      <c r="G122" s="20"/>
      <c r="H122" s="36"/>
      <c r="I122" s="36"/>
      <c r="J122" s="36"/>
      <c r="K122" s="36"/>
      <c r="L122" s="36"/>
      <c r="M122" s="36"/>
      <c r="O122" s="8"/>
      <c r="P122" s="8"/>
    </row>
    <row r="123" spans="1:16" ht="12.75">
      <c r="A123" s="45">
        <v>1306</v>
      </c>
      <c r="B123" s="20"/>
      <c r="C123" s="34">
        <v>20767.127</v>
      </c>
      <c r="D123" s="34">
        <v>10495.79</v>
      </c>
      <c r="E123" s="34">
        <f>C123+D123</f>
        <v>31262.917</v>
      </c>
      <c r="F123" s="34">
        <f>3.1281782*E123</f>
        <v>97795.9754278094</v>
      </c>
      <c r="G123" s="20"/>
      <c r="H123" s="36"/>
      <c r="I123" s="34"/>
      <c r="J123" s="34"/>
      <c r="K123" s="34"/>
      <c r="L123" s="34"/>
      <c r="M123" s="34">
        <f>F123+L123</f>
        <v>97795.9754278094</v>
      </c>
      <c r="O123" s="4">
        <f>F123/M123</f>
        <v>1</v>
      </c>
      <c r="P123" s="4">
        <f>L123/M123</f>
        <v>0</v>
      </c>
    </row>
    <row r="124" spans="1:16" ht="12.75">
      <c r="A124" s="45">
        <v>1307</v>
      </c>
      <c r="B124" s="20"/>
      <c r="C124" s="34">
        <v>29735.923</v>
      </c>
      <c r="D124" s="34">
        <v>18028.193</v>
      </c>
      <c r="E124" s="34">
        <f>C124+D124</f>
        <v>47764.115999999995</v>
      </c>
      <c r="F124" s="34">
        <f>3.1281782*E124</f>
        <v>149414.66641347116</v>
      </c>
      <c r="G124" s="20"/>
      <c r="H124" s="36"/>
      <c r="I124" s="34"/>
      <c r="J124" s="34"/>
      <c r="K124" s="34"/>
      <c r="L124" s="34"/>
      <c r="M124" s="34">
        <f>F124+L124</f>
        <v>149414.66641347116</v>
      </c>
      <c r="O124" s="4">
        <f>F124/M124</f>
        <v>1</v>
      </c>
      <c r="P124" s="4">
        <f>L124/M124</f>
        <v>0</v>
      </c>
    </row>
    <row r="125" spans="1:16" ht="12.75">
      <c r="A125" s="45">
        <v>1308</v>
      </c>
      <c r="B125" s="20"/>
      <c r="C125" s="34">
        <v>21968.185</v>
      </c>
      <c r="D125" s="34">
        <v>14370.214</v>
      </c>
      <c r="E125" s="34">
        <f>C125+D125</f>
        <v>36338.399000000005</v>
      </c>
      <c r="F125" s="34">
        <f>3.1281782*E125</f>
        <v>113672.98757470181</v>
      </c>
      <c r="G125" s="20"/>
      <c r="H125" s="36"/>
      <c r="I125" s="34"/>
      <c r="J125" s="34"/>
      <c r="K125" s="34"/>
      <c r="L125" s="34"/>
      <c r="M125" s="34">
        <f>F125+L125</f>
        <v>113672.98757470181</v>
      </c>
      <c r="O125" s="4">
        <f>F125/M125</f>
        <v>1</v>
      </c>
      <c r="P125" s="4">
        <f>L125/M125</f>
        <v>0</v>
      </c>
    </row>
    <row r="126" spans="1:16" ht="12.75">
      <c r="A126" s="45">
        <v>1309</v>
      </c>
      <c r="B126" s="20"/>
      <c r="C126" s="34">
        <v>31580.348</v>
      </c>
      <c r="D126" s="34">
        <v>13960.433</v>
      </c>
      <c r="E126" s="34">
        <f>C126+D126</f>
        <v>45540.781</v>
      </c>
      <c r="F126" s="34">
        <f>3.1281782*E126</f>
        <v>142459.6783351742</v>
      </c>
      <c r="G126" s="20"/>
      <c r="H126" s="36"/>
      <c r="I126" s="34"/>
      <c r="J126" s="34"/>
      <c r="K126" s="34"/>
      <c r="L126" s="34"/>
      <c r="M126" s="34">
        <f>F126+L126</f>
        <v>142459.6783351742</v>
      </c>
      <c r="O126" s="4">
        <f>F126/M126</f>
        <v>1</v>
      </c>
      <c r="P126" s="4">
        <f>L126/M126</f>
        <v>0</v>
      </c>
    </row>
    <row r="127" spans="1:16" ht="12.75">
      <c r="A127" s="45">
        <v>1310</v>
      </c>
      <c r="B127" s="20"/>
      <c r="C127" s="34"/>
      <c r="D127" s="34"/>
      <c r="E127" s="34">
        <f>C127+D127</f>
        <v>0</v>
      </c>
      <c r="F127" s="34">
        <f>3.1281782*E127</f>
        <v>0</v>
      </c>
      <c r="G127" s="20"/>
      <c r="H127" s="36"/>
      <c r="I127" s="34"/>
      <c r="J127" s="34"/>
      <c r="K127" s="34"/>
      <c r="L127" s="34"/>
      <c r="M127" s="34">
        <f>F127+L127</f>
        <v>0</v>
      </c>
      <c r="O127" s="4">
        <v>0</v>
      </c>
      <c r="P127" s="4">
        <v>0</v>
      </c>
    </row>
    <row r="128" spans="1:16" ht="12.75">
      <c r="A128" s="45"/>
      <c r="B128" s="20"/>
      <c r="C128" s="36"/>
      <c r="D128" s="36"/>
      <c r="E128" s="36"/>
      <c r="F128" s="36"/>
      <c r="G128" s="20"/>
      <c r="H128" s="36"/>
      <c r="I128" s="36"/>
      <c r="J128" s="36"/>
      <c r="K128" s="36"/>
      <c r="L128" s="36"/>
      <c r="M128" s="36"/>
      <c r="O128" s="8"/>
      <c r="P128" s="8"/>
    </row>
    <row r="129" spans="1:16" ht="12.75">
      <c r="A129" s="45" t="s">
        <v>31</v>
      </c>
      <c r="B129" s="20"/>
      <c r="C129" s="36">
        <f>SUM(C123:C128)/4</f>
        <v>26012.89575</v>
      </c>
      <c r="D129" s="36">
        <f>SUM(D123:D128)/4</f>
        <v>14213.657500000001</v>
      </c>
      <c r="E129" s="36">
        <f>SUM(E123:E128)/4</f>
        <v>40226.55325</v>
      </c>
      <c r="F129" s="36">
        <f>SUM(F123:F128)/4</f>
        <v>125835.82693778916</v>
      </c>
      <c r="G129" s="20"/>
      <c r="H129" s="36"/>
      <c r="I129" s="36"/>
      <c r="J129" s="36"/>
      <c r="K129" s="36"/>
      <c r="L129" s="36"/>
      <c r="M129" s="36">
        <f>SUM(M123:M128)/4</f>
        <v>125835.82693778916</v>
      </c>
      <c r="O129" s="4">
        <f>F129/M129</f>
        <v>1</v>
      </c>
      <c r="P129" s="4">
        <f>L129/M129</f>
        <v>0</v>
      </c>
    </row>
    <row r="130" spans="1:16" ht="12.75">
      <c r="A130" s="45"/>
      <c r="B130" s="20"/>
      <c r="C130" s="36"/>
      <c r="D130" s="36"/>
      <c r="E130" s="36"/>
      <c r="F130" s="36"/>
      <c r="G130" s="20"/>
      <c r="H130" s="36"/>
      <c r="I130" s="36"/>
      <c r="J130" s="36"/>
      <c r="K130" s="36"/>
      <c r="L130" s="36"/>
      <c r="M130" s="36"/>
      <c r="O130" s="8"/>
      <c r="P130" s="8"/>
    </row>
    <row r="131" spans="1:16" ht="12.75">
      <c r="A131" s="45">
        <v>1311</v>
      </c>
      <c r="B131" s="20"/>
      <c r="C131" s="34"/>
      <c r="D131" s="34"/>
      <c r="E131" s="34">
        <f>C131+D131</f>
        <v>0</v>
      </c>
      <c r="F131" s="34">
        <f>3.1281782*E131</f>
        <v>0</v>
      </c>
      <c r="G131" s="20"/>
      <c r="H131" s="36"/>
      <c r="I131" s="34"/>
      <c r="J131" s="34"/>
      <c r="K131" s="34"/>
      <c r="L131" s="34"/>
      <c r="M131" s="34">
        <f>F131+L131</f>
        <v>0</v>
      </c>
      <c r="O131" s="4">
        <v>0</v>
      </c>
      <c r="P131" s="4">
        <v>0</v>
      </c>
    </row>
    <row r="132" spans="1:16" ht="12.75">
      <c r="A132" s="45">
        <v>1312</v>
      </c>
      <c r="B132" s="20"/>
      <c r="C132" s="34">
        <v>4539.736</v>
      </c>
      <c r="D132" s="34">
        <v>1585.443</v>
      </c>
      <c r="E132" s="34">
        <f>C132+D132</f>
        <v>6125.179</v>
      </c>
      <c r="F132" s="34">
        <f>3.1281782*E132</f>
        <v>19160.6514188978</v>
      </c>
      <c r="G132" s="20"/>
      <c r="H132" s="36"/>
      <c r="I132" s="34"/>
      <c r="J132" s="34"/>
      <c r="K132" s="34"/>
      <c r="L132" s="34"/>
      <c r="M132" s="34">
        <f>F132+L132</f>
        <v>19160.6514188978</v>
      </c>
      <c r="O132" s="4">
        <f>F132/M132</f>
        <v>1</v>
      </c>
      <c r="P132" s="4">
        <f>L132/M132</f>
        <v>0</v>
      </c>
    </row>
    <row r="133" spans="1:16" ht="12.75">
      <c r="A133" s="45">
        <v>1313</v>
      </c>
      <c r="B133" s="20"/>
      <c r="C133" s="34">
        <v>2376.572</v>
      </c>
      <c r="D133" s="34">
        <v>2244.68</v>
      </c>
      <c r="E133" s="34">
        <f>C133+D133</f>
        <v>4621.252</v>
      </c>
      <c r="F133" s="34">
        <f>3.1281782*E133</f>
        <v>14456.0997631064</v>
      </c>
      <c r="G133" s="20"/>
      <c r="H133" s="36"/>
      <c r="I133" s="34"/>
      <c r="J133" s="34"/>
      <c r="K133" s="34"/>
      <c r="L133" s="34"/>
      <c r="M133" s="34">
        <f>F133+L133</f>
        <v>14456.0997631064</v>
      </c>
      <c r="O133" s="4">
        <f>F133/M133</f>
        <v>1</v>
      </c>
      <c r="P133" s="4">
        <f>L133/M133</f>
        <v>0</v>
      </c>
    </row>
    <row r="134" spans="1:16" ht="12.75">
      <c r="A134" s="45">
        <v>1314</v>
      </c>
      <c r="B134" s="20"/>
      <c r="C134" s="34">
        <v>9935.209</v>
      </c>
      <c r="D134" s="34">
        <v>11543.205</v>
      </c>
      <c r="E134" s="34">
        <f>C134+D134</f>
        <v>21478.414</v>
      </c>
      <c r="F134" s="34">
        <f>3.1281782*E134</f>
        <v>67188.3064453748</v>
      </c>
      <c r="G134" s="20"/>
      <c r="H134" s="36"/>
      <c r="I134" s="34"/>
      <c r="J134" s="34"/>
      <c r="K134" s="34"/>
      <c r="L134" s="34"/>
      <c r="M134" s="34">
        <f>F134+L134</f>
        <v>67188.3064453748</v>
      </c>
      <c r="O134" s="4">
        <f>F134/M134</f>
        <v>1</v>
      </c>
      <c r="P134" s="4">
        <f>L134/M134</f>
        <v>0</v>
      </c>
    </row>
    <row r="135" spans="1:16" ht="12.75">
      <c r="A135" s="45">
        <v>1315</v>
      </c>
      <c r="B135" s="20"/>
      <c r="C135" s="34">
        <v>3895.899</v>
      </c>
      <c r="D135" s="34">
        <v>6706.103</v>
      </c>
      <c r="E135" s="34">
        <f>C135+D135</f>
        <v>10602.002</v>
      </c>
      <c r="F135" s="34">
        <f>3.1281782*E135</f>
        <v>33164.9515327564</v>
      </c>
      <c r="G135" s="20"/>
      <c r="H135" s="36"/>
      <c r="I135" s="34"/>
      <c r="J135" s="34"/>
      <c r="K135" s="34"/>
      <c r="L135" s="34"/>
      <c r="M135" s="34">
        <f>F135+L135</f>
        <v>33164.9515327564</v>
      </c>
      <c r="O135" s="4">
        <f>F135/M135</f>
        <v>1</v>
      </c>
      <c r="P135" s="4">
        <f>L135/M135</f>
        <v>0</v>
      </c>
    </row>
    <row r="136" spans="1:16" ht="12.75">
      <c r="A136" s="45"/>
      <c r="B136" s="20"/>
      <c r="C136" s="36"/>
      <c r="D136" s="36"/>
      <c r="E136" s="36"/>
      <c r="F136" s="36"/>
      <c r="G136" s="20"/>
      <c r="H136" s="36"/>
      <c r="I136" s="36"/>
      <c r="J136" s="36"/>
      <c r="K136" s="36"/>
      <c r="L136" s="36"/>
      <c r="M136" s="36"/>
      <c r="O136" s="8"/>
      <c r="P136" s="8"/>
    </row>
    <row r="137" spans="1:16" ht="12.75">
      <c r="A137" s="45" t="s">
        <v>32</v>
      </c>
      <c r="B137" s="20"/>
      <c r="C137" s="36">
        <f>SUM(C131:C136)/4</f>
        <v>5186.854</v>
      </c>
      <c r="D137" s="36">
        <f>SUM(D131:D136)/4</f>
        <v>5519.85775</v>
      </c>
      <c r="E137" s="36">
        <f>SUM(E131:E136)/4</f>
        <v>10706.71175</v>
      </c>
      <c r="F137" s="36">
        <f>SUM(F131:F136)/4</f>
        <v>33492.50229003385</v>
      </c>
      <c r="G137" s="20"/>
      <c r="H137" s="36"/>
      <c r="I137" s="36"/>
      <c r="J137" s="36"/>
      <c r="K137" s="36"/>
      <c r="L137" s="36"/>
      <c r="M137" s="36">
        <f>SUM(M131:M136)/4</f>
        <v>33492.50229003385</v>
      </c>
      <c r="O137" s="4">
        <f>F137/M137</f>
        <v>1</v>
      </c>
      <c r="P137" s="4">
        <f>L137/M137</f>
        <v>0</v>
      </c>
    </row>
    <row r="138" spans="1:16" ht="12.75">
      <c r="A138" s="45"/>
      <c r="B138" s="20"/>
      <c r="C138" s="36"/>
      <c r="D138" s="36"/>
      <c r="E138" s="36"/>
      <c r="F138" s="36"/>
      <c r="G138" s="20"/>
      <c r="H138" s="36"/>
      <c r="I138" s="36"/>
      <c r="J138" s="36"/>
      <c r="K138" s="36"/>
      <c r="L138" s="36"/>
      <c r="M138" s="36"/>
      <c r="O138" s="8"/>
      <c r="P138" s="8"/>
    </row>
    <row r="139" spans="1:16" ht="12.75">
      <c r="A139" s="45">
        <v>1316</v>
      </c>
      <c r="B139" s="20"/>
      <c r="C139" s="34">
        <v>366.826</v>
      </c>
      <c r="D139" s="34">
        <v>834.401</v>
      </c>
      <c r="E139" s="34">
        <f>C139+D139</f>
        <v>1201.2269999999999</v>
      </c>
      <c r="F139" s="34">
        <f>3.1281782*E139</f>
        <v>3757.652114651399</v>
      </c>
      <c r="G139" s="20"/>
      <c r="H139" s="36"/>
      <c r="I139" s="34"/>
      <c r="J139" s="34"/>
      <c r="K139" s="34"/>
      <c r="L139" s="34"/>
      <c r="M139" s="34">
        <f>F139+L139</f>
        <v>3757.652114651399</v>
      </c>
      <c r="O139" s="4">
        <f>F139/M139</f>
        <v>1</v>
      </c>
      <c r="P139" s="4">
        <f>L139/M139</f>
        <v>0</v>
      </c>
    </row>
    <row r="140" spans="1:16" ht="12.75">
      <c r="A140" s="45">
        <v>1317</v>
      </c>
      <c r="B140" s="20"/>
      <c r="C140" s="34">
        <v>2533.171</v>
      </c>
      <c r="D140" s="34">
        <v>4821.142</v>
      </c>
      <c r="E140" s="34">
        <f>C140+D140</f>
        <v>7354.313</v>
      </c>
      <c r="F140" s="34">
        <f>3.1281782*E140</f>
        <v>23005.6016025766</v>
      </c>
      <c r="G140" s="20"/>
      <c r="H140" s="36"/>
      <c r="I140" s="34"/>
      <c r="J140" s="34"/>
      <c r="K140" s="34"/>
      <c r="L140" s="34"/>
      <c r="M140" s="34">
        <f>F140+L140</f>
        <v>23005.6016025766</v>
      </c>
      <c r="O140" s="4">
        <f>F140/M140</f>
        <v>1</v>
      </c>
      <c r="P140" s="4">
        <f>L140/M140</f>
        <v>0</v>
      </c>
    </row>
    <row r="141" spans="1:16" ht="12.75">
      <c r="A141" s="45">
        <v>1318</v>
      </c>
      <c r="B141" s="20"/>
      <c r="C141" s="34">
        <v>4328.068</v>
      </c>
      <c r="D141" s="34">
        <v>6953.132</v>
      </c>
      <c r="E141" s="34">
        <f>C141+D141</f>
        <v>11281.2</v>
      </c>
      <c r="F141" s="34">
        <f>3.1281782*E141</f>
        <v>35289.60390984</v>
      </c>
      <c r="G141" s="20"/>
      <c r="H141" s="36"/>
      <c r="I141" s="34"/>
      <c r="J141" s="34"/>
      <c r="K141" s="34"/>
      <c r="L141" s="34"/>
      <c r="M141" s="34">
        <f>F141+L141</f>
        <v>35289.60390984</v>
      </c>
      <c r="O141" s="4">
        <f>F141/M141</f>
        <v>1</v>
      </c>
      <c r="P141" s="4">
        <f>L141/M141</f>
        <v>0</v>
      </c>
    </row>
    <row r="142" spans="1:16" ht="12.75">
      <c r="A142" s="45">
        <v>1319</v>
      </c>
      <c r="B142" s="20"/>
      <c r="C142" s="34">
        <v>2894.132</v>
      </c>
      <c r="D142" s="34">
        <v>5716.765</v>
      </c>
      <c r="E142" s="34">
        <f>C142+D142</f>
        <v>8610.897</v>
      </c>
      <c r="F142" s="34">
        <f>3.1281782*E142</f>
        <v>26936.420277845402</v>
      </c>
      <c r="G142" s="20"/>
      <c r="H142" s="36"/>
      <c r="I142" s="34"/>
      <c r="J142" s="34"/>
      <c r="K142" s="34"/>
      <c r="L142" s="34"/>
      <c r="M142" s="34">
        <f>F142+L142</f>
        <v>26936.420277845402</v>
      </c>
      <c r="O142" s="4">
        <f>F142/M142</f>
        <v>1</v>
      </c>
      <c r="P142" s="4">
        <f>L142/M142</f>
        <v>0</v>
      </c>
    </row>
    <row r="143" spans="1:16" ht="12.75">
      <c r="A143" s="45">
        <v>1320</v>
      </c>
      <c r="B143" s="20"/>
      <c r="C143" s="34">
        <v>2796.7</v>
      </c>
      <c r="D143" s="34">
        <v>5134.041</v>
      </c>
      <c r="E143" s="34">
        <f>C143+D143</f>
        <v>7930.741</v>
      </c>
      <c r="F143" s="34">
        <f>3.1281782*E143</f>
        <v>24808.7711060462</v>
      </c>
      <c r="G143" s="20"/>
      <c r="H143" s="36"/>
      <c r="I143" s="34"/>
      <c r="J143" s="34"/>
      <c r="K143" s="34"/>
      <c r="L143" s="34"/>
      <c r="M143" s="34">
        <f>F143+L143</f>
        <v>24808.7711060462</v>
      </c>
      <c r="O143" s="4">
        <f>F143/M143</f>
        <v>1</v>
      </c>
      <c r="P143" s="4">
        <f>L143/M143</f>
        <v>0</v>
      </c>
    </row>
    <row r="144" spans="1:16" ht="12.75">
      <c r="A144" s="45"/>
      <c r="B144" s="20"/>
      <c r="C144" s="36"/>
      <c r="D144" s="36"/>
      <c r="E144" s="36"/>
      <c r="F144" s="36"/>
      <c r="G144" s="20"/>
      <c r="H144" s="36"/>
      <c r="I144" s="36"/>
      <c r="J144" s="36"/>
      <c r="K144" s="36"/>
      <c r="L144" s="36"/>
      <c r="M144" s="36"/>
      <c r="O144" s="8"/>
      <c r="P144" s="8"/>
    </row>
    <row r="145" spans="1:16" ht="12.75">
      <c r="A145" s="45" t="s">
        <v>33</v>
      </c>
      <c r="B145" s="20"/>
      <c r="C145" s="36">
        <f>SUM(C139:C144)/5</f>
        <v>2583.7794000000004</v>
      </c>
      <c r="D145" s="36">
        <f>SUM(D139:D144)/5</f>
        <v>4691.8962</v>
      </c>
      <c r="E145" s="36">
        <f>SUM(E139:E144)/5</f>
        <v>7275.6756000000005</v>
      </c>
      <c r="F145" s="36">
        <f>SUM(F139:F144)/5</f>
        <v>22759.60980219192</v>
      </c>
      <c r="G145" s="20"/>
      <c r="H145" s="36"/>
      <c r="I145" s="36"/>
      <c r="J145" s="36"/>
      <c r="K145" s="36"/>
      <c r="L145" s="36"/>
      <c r="M145" s="36">
        <f>SUM(M139:M144)/5</f>
        <v>22759.60980219192</v>
      </c>
      <c r="O145" s="4">
        <f>F145/M145</f>
        <v>1</v>
      </c>
      <c r="P145" s="4">
        <f>L145/M145</f>
        <v>0</v>
      </c>
    </row>
    <row r="146" spans="1:16" ht="12.75">
      <c r="A146" s="45"/>
      <c r="B146" s="20"/>
      <c r="C146" s="36"/>
      <c r="D146" s="36"/>
      <c r="E146" s="36"/>
      <c r="F146" s="36"/>
      <c r="G146" s="20"/>
      <c r="H146" s="36"/>
      <c r="I146" s="36"/>
      <c r="J146" s="36"/>
      <c r="K146" s="36"/>
      <c r="L146" s="36"/>
      <c r="M146" s="36"/>
      <c r="O146" s="8"/>
      <c r="P146" s="8"/>
    </row>
    <row r="147" spans="1:16" ht="12.75">
      <c r="A147" s="45">
        <v>1321</v>
      </c>
      <c r="B147" s="20"/>
      <c r="C147" s="34">
        <v>3058.508</v>
      </c>
      <c r="D147" s="34">
        <v>1795.907</v>
      </c>
      <c r="E147" s="34">
        <f>C147+D147</f>
        <v>4854.415</v>
      </c>
      <c r="F147" s="34">
        <f>3.1281782*E147</f>
        <v>15185.475176753</v>
      </c>
      <c r="G147" s="20"/>
      <c r="H147" s="36"/>
      <c r="I147" s="34"/>
      <c r="J147" s="34"/>
      <c r="K147" s="34"/>
      <c r="L147" s="34"/>
      <c r="M147" s="34">
        <f>F147+L147</f>
        <v>15185.475176753</v>
      </c>
      <c r="O147" s="4">
        <f>F147/M147</f>
        <v>1</v>
      </c>
      <c r="P147" s="4">
        <f>L147/M147</f>
        <v>0</v>
      </c>
    </row>
    <row r="148" spans="1:16" ht="12.75">
      <c r="A148" s="45">
        <v>1322</v>
      </c>
      <c r="B148" s="20"/>
      <c r="C148" s="34">
        <f>(C147+C149)/2</f>
        <v>1694.9265</v>
      </c>
      <c r="D148" s="34">
        <f>(D147+D149)/2</f>
        <v>1072.244</v>
      </c>
      <c r="E148" s="34">
        <f>(E147+E149)/2</f>
        <v>2767.1705</v>
      </c>
      <c r="F148" s="34">
        <f>(F147+F149)/2</f>
        <v>8656.202433783099</v>
      </c>
      <c r="G148" s="20"/>
      <c r="H148" s="36"/>
      <c r="I148" s="34"/>
      <c r="J148" s="34"/>
      <c r="K148" s="34"/>
      <c r="L148" s="34"/>
      <c r="M148" s="34">
        <f>F148+L148</f>
        <v>8656.202433783099</v>
      </c>
      <c r="O148" s="4">
        <f>F148/M148</f>
        <v>1</v>
      </c>
      <c r="P148" s="4">
        <f>L148/M148</f>
        <v>0</v>
      </c>
    </row>
    <row r="149" spans="1:16" ht="12.75">
      <c r="A149" s="45">
        <v>1323</v>
      </c>
      <c r="B149" s="20"/>
      <c r="C149" s="34">
        <v>331.345</v>
      </c>
      <c r="D149" s="34">
        <v>348.581</v>
      </c>
      <c r="E149" s="34">
        <f>C149+D149</f>
        <v>679.926</v>
      </c>
      <c r="F149" s="34">
        <f>3.1281782*E149</f>
        <v>2126.9296908132</v>
      </c>
      <c r="G149" s="20"/>
      <c r="H149" s="36"/>
      <c r="I149" s="34"/>
      <c r="J149" s="34"/>
      <c r="K149" s="34"/>
      <c r="L149" s="34"/>
      <c r="M149" s="34">
        <f>F149+L149</f>
        <v>2126.9296908132</v>
      </c>
      <c r="O149" s="4">
        <f>F149/M149</f>
        <v>1</v>
      </c>
      <c r="P149" s="4">
        <f>L149/M149</f>
        <v>0</v>
      </c>
    </row>
    <row r="150" spans="1:16" ht="12.75">
      <c r="A150" s="45">
        <v>1324</v>
      </c>
      <c r="B150" s="20"/>
      <c r="C150" s="34">
        <v>561.566</v>
      </c>
      <c r="D150" s="34"/>
      <c r="E150" s="34">
        <f>C150+D150</f>
        <v>561.566</v>
      </c>
      <c r="F150" s="34">
        <f>3.1281782*E150</f>
        <v>1756.6785190612</v>
      </c>
      <c r="G150" s="20"/>
      <c r="H150" s="36"/>
      <c r="I150" s="34"/>
      <c r="J150" s="34"/>
      <c r="K150" s="34"/>
      <c r="L150" s="34"/>
      <c r="M150" s="34">
        <f>F150+L150</f>
        <v>1756.6785190612</v>
      </c>
      <c r="O150" s="4">
        <f>F150/M150</f>
        <v>1</v>
      </c>
      <c r="P150" s="4">
        <f>L150/M150</f>
        <v>0</v>
      </c>
    </row>
    <row r="151" spans="1:16" ht="12.75">
      <c r="A151" s="45">
        <v>1325</v>
      </c>
      <c r="B151" s="20"/>
      <c r="C151" s="34">
        <v>37.458</v>
      </c>
      <c r="D151" s="34"/>
      <c r="E151" s="34">
        <f>C151+D151</f>
        <v>37.458</v>
      </c>
      <c r="F151" s="34">
        <f>3.1281782*E151</f>
        <v>117.17529901559999</v>
      </c>
      <c r="G151" s="20"/>
      <c r="H151" s="36"/>
      <c r="I151" s="34"/>
      <c r="J151" s="34"/>
      <c r="K151" s="34"/>
      <c r="L151" s="34"/>
      <c r="M151" s="34">
        <f>F151+L151</f>
        <v>117.17529901559999</v>
      </c>
      <c r="O151" s="4">
        <f>F151/M151</f>
        <v>1</v>
      </c>
      <c r="P151" s="4">
        <f>L151/M151</f>
        <v>0</v>
      </c>
    </row>
    <row r="152" spans="1:16" ht="12.75">
      <c r="A152" s="45"/>
      <c r="B152" s="20"/>
      <c r="C152" s="36"/>
      <c r="D152" s="36"/>
      <c r="E152" s="36"/>
      <c r="F152" s="36"/>
      <c r="G152" s="20"/>
      <c r="H152" s="36"/>
      <c r="I152" s="36"/>
      <c r="J152" s="36"/>
      <c r="K152" s="36"/>
      <c r="L152" s="36"/>
      <c r="M152" s="36"/>
      <c r="O152" s="8"/>
      <c r="P152" s="8"/>
    </row>
    <row r="153" spans="1:16" ht="12.75">
      <c r="A153" s="45" t="s">
        <v>34</v>
      </c>
      <c r="B153" s="20"/>
      <c r="C153" s="36">
        <f>SUM(C147:C152)/5</f>
        <v>1136.7606999999998</v>
      </c>
      <c r="D153" s="36">
        <f>SUM(D147:D152)/5</f>
        <v>643.3464</v>
      </c>
      <c r="E153" s="36">
        <f>SUM(E147:E152)/5</f>
        <v>1780.1071000000004</v>
      </c>
      <c r="F153" s="36">
        <f>SUM(F147:F152)/5</f>
        <v>5568.49222388522</v>
      </c>
      <c r="G153" s="20"/>
      <c r="H153" s="36"/>
      <c r="I153" s="36"/>
      <c r="J153" s="36"/>
      <c r="K153" s="36"/>
      <c r="L153" s="36"/>
      <c r="M153" s="36">
        <f>SUM(M147:M152)/5</f>
        <v>5568.49222388522</v>
      </c>
      <c r="O153" s="4">
        <f>F153/M153</f>
        <v>1</v>
      </c>
      <c r="P153" s="4">
        <f>L153/M153</f>
        <v>0</v>
      </c>
    </row>
    <row r="154" spans="1:16" ht="12.75">
      <c r="A154" s="45"/>
      <c r="B154" s="20"/>
      <c r="C154" s="36"/>
      <c r="D154" s="36"/>
      <c r="E154" s="36"/>
      <c r="F154" s="36"/>
      <c r="G154" s="20"/>
      <c r="H154" s="36"/>
      <c r="I154" s="36"/>
      <c r="J154" s="36"/>
      <c r="K154" s="36"/>
      <c r="L154" s="36"/>
      <c r="M154" s="36"/>
      <c r="O154" s="8"/>
      <c r="P154" s="8"/>
    </row>
    <row r="155" spans="1:16" ht="12.75">
      <c r="A155" s="45">
        <v>1326</v>
      </c>
      <c r="B155" s="20"/>
      <c r="C155" s="34">
        <v>45.314</v>
      </c>
      <c r="D155" s="34"/>
      <c r="E155" s="34">
        <f>C155+D155</f>
        <v>45.314</v>
      </c>
      <c r="F155" s="34">
        <f>3.1281782*E155</f>
        <v>141.7502669548</v>
      </c>
      <c r="G155" s="20"/>
      <c r="H155" s="36"/>
      <c r="I155" s="34"/>
      <c r="J155" s="34"/>
      <c r="K155" s="34"/>
      <c r="L155" s="34"/>
      <c r="M155" s="34">
        <f>F155+L155</f>
        <v>141.7502669548</v>
      </c>
      <c r="O155" s="4">
        <f>F155/M155</f>
        <v>1</v>
      </c>
      <c r="P155" s="4">
        <f>L155/M155</f>
        <v>0</v>
      </c>
    </row>
    <row r="156" spans="1:16" ht="12.75">
      <c r="A156" s="45">
        <v>1327</v>
      </c>
      <c r="B156" s="20"/>
      <c r="C156" s="34">
        <v>76.215</v>
      </c>
      <c r="D156" s="34"/>
      <c r="E156" s="34">
        <f>C156+D156</f>
        <v>76.215</v>
      </c>
      <c r="F156" s="34">
        <f>3.1281782*E156</f>
        <v>238.414101513</v>
      </c>
      <c r="G156" s="20"/>
      <c r="H156" s="36"/>
      <c r="I156" s="34"/>
      <c r="J156" s="34"/>
      <c r="K156" s="34"/>
      <c r="L156" s="34"/>
      <c r="M156" s="34">
        <f>F156+L156</f>
        <v>238.414101513</v>
      </c>
      <c r="O156" s="4">
        <f>F156/M156</f>
        <v>1</v>
      </c>
      <c r="P156" s="4">
        <f>L156/M156</f>
        <v>0</v>
      </c>
    </row>
    <row r="157" spans="1:16" ht="12.75">
      <c r="A157" s="45">
        <v>1328</v>
      </c>
      <c r="B157" s="20"/>
      <c r="C157" s="34">
        <v>48.567</v>
      </c>
      <c r="D157" s="34"/>
      <c r="E157" s="34">
        <f>C157+D157</f>
        <v>48.567</v>
      </c>
      <c r="F157" s="34">
        <f>3.1281782*E157</f>
        <v>151.9262306394</v>
      </c>
      <c r="G157" s="20"/>
      <c r="H157" s="36"/>
      <c r="I157" s="34"/>
      <c r="J157" s="34"/>
      <c r="K157" s="34"/>
      <c r="L157" s="34"/>
      <c r="M157" s="34">
        <f>F157+L157</f>
        <v>151.9262306394</v>
      </c>
      <c r="O157" s="4">
        <f>F157/M157</f>
        <v>1</v>
      </c>
      <c r="P157" s="4">
        <f>L157/M157</f>
        <v>0</v>
      </c>
    </row>
    <row r="158" spans="1:16" ht="12.75">
      <c r="A158" s="45">
        <v>1329</v>
      </c>
      <c r="B158" s="20"/>
      <c r="C158" s="34">
        <v>233.6</v>
      </c>
      <c r="D158" s="34">
        <v>46.262</v>
      </c>
      <c r="E158" s="34">
        <f>C158+D158</f>
        <v>279.86199999999997</v>
      </c>
      <c r="F158" s="34">
        <f>3.1281782*E158</f>
        <v>875.4582074083999</v>
      </c>
      <c r="G158" s="20"/>
      <c r="H158" s="36"/>
      <c r="I158" s="34"/>
      <c r="J158" s="34"/>
      <c r="K158" s="34"/>
      <c r="L158" s="34"/>
      <c r="M158" s="34">
        <f>F158+L158</f>
        <v>875.4582074083999</v>
      </c>
      <c r="O158" s="4">
        <f>F158/M158</f>
        <v>1</v>
      </c>
      <c r="P158" s="4">
        <f>L158/M158</f>
        <v>0</v>
      </c>
    </row>
    <row r="159" spans="1:16" ht="12.75">
      <c r="A159" s="45">
        <v>1330</v>
      </c>
      <c r="B159" s="20"/>
      <c r="C159" s="34">
        <v>159.326</v>
      </c>
      <c r="D159" s="34"/>
      <c r="E159" s="34">
        <f>C159+D159</f>
        <v>159.326</v>
      </c>
      <c r="F159" s="34">
        <f>3.1281782*E159</f>
        <v>498.4001198931999</v>
      </c>
      <c r="G159" s="20"/>
      <c r="H159" s="36"/>
      <c r="I159" s="34"/>
      <c r="J159" s="34"/>
      <c r="K159" s="34"/>
      <c r="L159" s="34"/>
      <c r="M159" s="34">
        <f>F159+L159</f>
        <v>498.4001198931999</v>
      </c>
      <c r="O159" s="4">
        <f>F159/M159</f>
        <v>1</v>
      </c>
      <c r="P159" s="4">
        <f>L159/M159</f>
        <v>0</v>
      </c>
    </row>
    <row r="160" spans="1:16" ht="12.75">
      <c r="A160" s="45"/>
      <c r="B160" s="20"/>
      <c r="C160" s="36"/>
      <c r="D160" s="36"/>
      <c r="E160" s="36"/>
      <c r="F160" s="36"/>
      <c r="G160" s="20"/>
      <c r="H160" s="36"/>
      <c r="I160" s="36"/>
      <c r="J160" s="36"/>
      <c r="K160" s="36"/>
      <c r="L160" s="36"/>
      <c r="M160" s="36"/>
      <c r="O160" s="8"/>
      <c r="P160" s="8"/>
    </row>
    <row r="161" spans="1:16" ht="12.75">
      <c r="A161" s="45" t="s">
        <v>35</v>
      </c>
      <c r="B161" s="20"/>
      <c r="C161" s="36">
        <f>SUM(C155:C160)/5</f>
        <v>112.60440000000001</v>
      </c>
      <c r="D161" s="36">
        <f>SUM(D155:D160)/5</f>
        <v>9.2524</v>
      </c>
      <c r="E161" s="36">
        <f>SUM(E155:E160)/5</f>
        <v>121.85679999999999</v>
      </c>
      <c r="F161" s="36">
        <f>SUM(F155:F160)/5</f>
        <v>381.18978528175995</v>
      </c>
      <c r="G161" s="20"/>
      <c r="H161" s="36"/>
      <c r="I161" s="36"/>
      <c r="J161" s="36"/>
      <c r="K161" s="36"/>
      <c r="L161" s="36"/>
      <c r="M161" s="36">
        <f>SUM(M155:M160)/5</f>
        <v>381.18978528175995</v>
      </c>
      <c r="O161" s="4">
        <f>F161/M161</f>
        <v>1</v>
      </c>
      <c r="P161" s="4">
        <f>L161/M161</f>
        <v>0</v>
      </c>
    </row>
    <row r="162" spans="1:16" ht="12.75">
      <c r="A162" s="45"/>
      <c r="B162" s="20"/>
      <c r="C162" s="36"/>
      <c r="D162" s="36"/>
      <c r="E162" s="36"/>
      <c r="F162" s="36"/>
      <c r="G162" s="20"/>
      <c r="H162" s="36"/>
      <c r="I162" s="36"/>
      <c r="J162" s="36"/>
      <c r="K162" s="36"/>
      <c r="L162" s="36"/>
      <c r="M162" s="36"/>
      <c r="O162" s="8"/>
      <c r="P162" s="8"/>
    </row>
    <row r="163" spans="1:16" ht="12.75">
      <c r="A163" s="45">
        <v>1331</v>
      </c>
      <c r="B163" s="20"/>
      <c r="C163" s="34">
        <v>163.208</v>
      </c>
      <c r="D163" s="34">
        <v>203.918</v>
      </c>
      <c r="E163" s="34">
        <f>C163+D163</f>
        <v>367.126</v>
      </c>
      <c r="F163" s="34">
        <f>3.1281782*E163</f>
        <v>1148.4355498531997</v>
      </c>
      <c r="G163" s="20"/>
      <c r="H163" s="36"/>
      <c r="I163" s="34"/>
      <c r="J163" s="34"/>
      <c r="K163" s="34"/>
      <c r="L163" s="34"/>
      <c r="M163" s="34">
        <f>F163+L163</f>
        <v>1148.4355498531997</v>
      </c>
      <c r="O163" s="4">
        <f>F163/M163</f>
        <v>1</v>
      </c>
      <c r="P163" s="4">
        <f>L163/M163</f>
        <v>0</v>
      </c>
    </row>
    <row r="164" spans="1:16" ht="12.75">
      <c r="A164" s="45">
        <v>1332</v>
      </c>
      <c r="B164" s="20"/>
      <c r="C164" s="34">
        <v>133.106</v>
      </c>
      <c r="D164" s="34"/>
      <c r="E164" s="34">
        <f>C164+D164</f>
        <v>133.106</v>
      </c>
      <c r="F164" s="34">
        <f>3.1281782*E164</f>
        <v>416.37928748919995</v>
      </c>
      <c r="G164" s="20"/>
      <c r="H164" s="36"/>
      <c r="I164" s="34"/>
      <c r="J164" s="34"/>
      <c r="K164" s="34"/>
      <c r="L164" s="34"/>
      <c r="M164" s="34">
        <f>F164+L164</f>
        <v>416.37928748919995</v>
      </c>
      <c r="O164" s="4">
        <f>F164/M164</f>
        <v>1</v>
      </c>
      <c r="P164" s="4">
        <f>L164/M164</f>
        <v>0</v>
      </c>
    </row>
    <row r="165" spans="1:16" ht="12.75">
      <c r="A165" s="45">
        <v>1333</v>
      </c>
      <c r="B165" s="20"/>
      <c r="C165" s="34">
        <v>212.341</v>
      </c>
      <c r="D165" s="34"/>
      <c r="E165" s="34">
        <f>C165+D165</f>
        <v>212.341</v>
      </c>
      <c r="F165" s="34">
        <f>3.1281782*E165</f>
        <v>664.2404871662</v>
      </c>
      <c r="G165" s="20"/>
      <c r="H165" s="36"/>
      <c r="I165" s="34"/>
      <c r="J165" s="34"/>
      <c r="K165" s="34"/>
      <c r="L165" s="34"/>
      <c r="M165" s="34">
        <f>F165+L165</f>
        <v>664.2404871662</v>
      </c>
      <c r="O165" s="4">
        <f>F165/M165</f>
        <v>1</v>
      </c>
      <c r="P165" s="4">
        <f>L165/M165</f>
        <v>0</v>
      </c>
    </row>
    <row r="166" spans="1:16" ht="12.75">
      <c r="A166" s="45">
        <v>1334</v>
      </c>
      <c r="B166" s="20"/>
      <c r="C166" s="34">
        <v>123.768</v>
      </c>
      <c r="D166" s="34"/>
      <c r="E166" s="34">
        <f>C166+D166</f>
        <v>123.768</v>
      </c>
      <c r="F166" s="34">
        <f>3.1281782*E166</f>
        <v>387.1683594576</v>
      </c>
      <c r="G166" s="20"/>
      <c r="H166" s="36"/>
      <c r="I166" s="34"/>
      <c r="J166" s="34"/>
      <c r="K166" s="34"/>
      <c r="L166" s="34"/>
      <c r="M166" s="34">
        <f>F166+L166</f>
        <v>387.1683594576</v>
      </c>
      <c r="O166" s="4">
        <f>F166/M166</f>
        <v>1</v>
      </c>
      <c r="P166" s="4">
        <f>L166/M166</f>
        <v>0</v>
      </c>
    </row>
    <row r="167" spans="1:16" ht="12.75">
      <c r="A167" s="45">
        <v>1335</v>
      </c>
      <c r="B167" s="20"/>
      <c r="C167" s="34">
        <v>208.937</v>
      </c>
      <c r="D167" s="34"/>
      <c r="E167" s="34">
        <f>C167+D167</f>
        <v>208.937</v>
      </c>
      <c r="F167" s="34">
        <v>709.429</v>
      </c>
      <c r="G167" s="20"/>
      <c r="H167" s="36"/>
      <c r="I167" s="34"/>
      <c r="J167" s="34"/>
      <c r="K167" s="34"/>
      <c r="L167" s="34"/>
      <c r="M167" s="34">
        <f>F167+L167</f>
        <v>709.429</v>
      </c>
      <c r="O167" s="4">
        <f>F167/M167</f>
        <v>1</v>
      </c>
      <c r="P167" s="4">
        <f>L167/M167</f>
        <v>0</v>
      </c>
    </row>
    <row r="168" spans="1:16" ht="12.75">
      <c r="A168" s="45"/>
      <c r="B168" s="20"/>
      <c r="C168" s="36"/>
      <c r="D168" s="36"/>
      <c r="E168" s="36"/>
      <c r="F168" s="36"/>
      <c r="G168" s="20"/>
      <c r="H168" s="36"/>
      <c r="I168" s="36"/>
      <c r="J168" s="36"/>
      <c r="K168" s="36"/>
      <c r="L168" s="36"/>
      <c r="M168" s="36"/>
      <c r="O168" s="8"/>
      <c r="P168" s="8"/>
    </row>
    <row r="169" spans="1:16" ht="12.75">
      <c r="A169" s="45" t="s">
        <v>36</v>
      </c>
      <c r="B169" s="20"/>
      <c r="C169" s="36">
        <f>SUM(C163:C168)/5</f>
        <v>168.272</v>
      </c>
      <c r="D169" s="36">
        <f>SUM(D163:D168)/5</f>
        <v>40.7836</v>
      </c>
      <c r="E169" s="36">
        <f>SUM(E163:E168)/5</f>
        <v>209.0556</v>
      </c>
      <c r="F169" s="36">
        <f>SUM(F163:F168)/5</f>
        <v>665.1305367932398</v>
      </c>
      <c r="G169" s="20"/>
      <c r="H169" s="36"/>
      <c r="I169" s="36"/>
      <c r="J169" s="36"/>
      <c r="K169" s="36"/>
      <c r="L169" s="36"/>
      <c r="M169" s="36">
        <f>SUM(M163:M168)/5</f>
        <v>665.1305367932398</v>
      </c>
      <c r="O169" s="4">
        <f>F169/M169</f>
        <v>1</v>
      </c>
      <c r="P169" s="4">
        <f>L169/M169</f>
        <v>0</v>
      </c>
    </row>
    <row r="170" spans="1:16" ht="12.75">
      <c r="A170" s="45"/>
      <c r="B170" s="20"/>
      <c r="C170" s="36"/>
      <c r="D170" s="36"/>
      <c r="E170" s="36"/>
      <c r="F170" s="36"/>
      <c r="G170" s="20"/>
      <c r="H170" s="36"/>
      <c r="I170" s="36"/>
      <c r="J170" s="36"/>
      <c r="K170" s="36"/>
      <c r="L170" s="36"/>
      <c r="M170" s="36"/>
      <c r="O170" s="8"/>
      <c r="P170" s="8"/>
    </row>
    <row r="171" spans="1:16" ht="12.75">
      <c r="A171" s="45">
        <v>1336</v>
      </c>
      <c r="B171" s="20"/>
      <c r="C171" s="34">
        <v>909.116</v>
      </c>
      <c r="D171" s="34"/>
      <c r="E171" s="34">
        <f>C171+D171</f>
        <v>909.116</v>
      </c>
      <c r="F171" s="34">
        <v>3288.631</v>
      </c>
      <c r="G171" s="20"/>
      <c r="H171" s="36"/>
      <c r="I171" s="34"/>
      <c r="J171" s="34"/>
      <c r="K171" s="34"/>
      <c r="L171" s="34"/>
      <c r="M171" s="34">
        <f>F171+L171</f>
        <v>3288.631</v>
      </c>
      <c r="O171" s="4">
        <f>F171/M171</f>
        <v>1</v>
      </c>
      <c r="P171" s="4">
        <f>L171/M171</f>
        <v>0</v>
      </c>
    </row>
    <row r="172" spans="1:16" ht="12.75">
      <c r="A172" s="45">
        <v>1337</v>
      </c>
      <c r="B172" s="20"/>
      <c r="C172" s="34">
        <v>364.883</v>
      </c>
      <c r="D172" s="34"/>
      <c r="E172" s="34">
        <f>C172+D172</f>
        <v>364.883</v>
      </c>
      <c r="F172" s="34">
        <v>1321.189</v>
      </c>
      <c r="G172" s="20"/>
      <c r="H172" s="36"/>
      <c r="I172" s="34"/>
      <c r="J172" s="34"/>
      <c r="K172" s="34"/>
      <c r="L172" s="34"/>
      <c r="M172" s="34">
        <f>F172+L172</f>
        <v>1321.189</v>
      </c>
      <c r="O172" s="4">
        <f>F172/M172</f>
        <v>1</v>
      </c>
      <c r="P172" s="4">
        <f>L172/M172</f>
        <v>0</v>
      </c>
    </row>
    <row r="173" spans="1:16" ht="12.75">
      <c r="A173" s="45">
        <v>1338</v>
      </c>
      <c r="B173" s="20"/>
      <c r="C173" s="34">
        <v>412.28</v>
      </c>
      <c r="D173" s="34"/>
      <c r="E173" s="34">
        <f>C173+D173</f>
        <v>412.28</v>
      </c>
      <c r="F173" s="34">
        <v>1490.71</v>
      </c>
      <c r="G173" s="20"/>
      <c r="H173" s="36"/>
      <c r="I173" s="34"/>
      <c r="J173" s="34"/>
      <c r="K173" s="34"/>
      <c r="L173" s="34"/>
      <c r="M173" s="34">
        <f>F173+L173</f>
        <v>1490.71</v>
      </c>
      <c r="O173" s="4">
        <f>F173/M173</f>
        <v>1</v>
      </c>
      <c r="P173" s="4">
        <f>L173/M173</f>
        <v>0</v>
      </c>
    </row>
    <row r="174" spans="1:16" ht="12.75">
      <c r="A174" s="45">
        <v>1339</v>
      </c>
      <c r="B174" s="20"/>
      <c r="C174" s="34">
        <v>520.196</v>
      </c>
      <c r="D174" s="34"/>
      <c r="E174" s="34">
        <f>C174+D174</f>
        <v>520.196</v>
      </c>
      <c r="F174" s="34">
        <v>1877.18</v>
      </c>
      <c r="G174" s="20"/>
      <c r="H174" s="36"/>
      <c r="I174" s="34"/>
      <c r="J174" s="34"/>
      <c r="K174" s="34"/>
      <c r="L174" s="34"/>
      <c r="M174" s="34">
        <f>F174+L174</f>
        <v>1877.18</v>
      </c>
      <c r="O174" s="4">
        <f>F174/M174</f>
        <v>1</v>
      </c>
      <c r="P174" s="4">
        <f>L174/M174</f>
        <v>0</v>
      </c>
    </row>
    <row r="175" spans="1:16" ht="12.75">
      <c r="A175" s="45">
        <v>1340</v>
      </c>
      <c r="B175" s="20"/>
      <c r="C175" s="34">
        <v>536.485</v>
      </c>
      <c r="D175" s="34"/>
      <c r="E175" s="34">
        <f>C175+D175</f>
        <v>536.485</v>
      </c>
      <c r="F175" s="34">
        <v>1937.005</v>
      </c>
      <c r="G175" s="20"/>
      <c r="H175" s="36"/>
      <c r="I175" s="34"/>
      <c r="J175" s="34"/>
      <c r="K175" s="34"/>
      <c r="L175" s="34"/>
      <c r="M175" s="34">
        <f>F175+L175</f>
        <v>1937.005</v>
      </c>
      <c r="O175" s="4">
        <f>F175/M175</f>
        <v>1</v>
      </c>
      <c r="P175" s="4">
        <f>L175/M175</f>
        <v>0</v>
      </c>
    </row>
    <row r="176" spans="1:16" ht="12" hidden="1">
      <c r="A176" s="33">
        <v>1341</v>
      </c>
      <c r="B176" s="20"/>
      <c r="C176" s="34">
        <v>313.596</v>
      </c>
      <c r="D176" s="34"/>
      <c r="E176" s="34">
        <f>C176+D176</f>
        <v>313.596</v>
      </c>
      <c r="F176" s="34">
        <v>1131.909</v>
      </c>
      <c r="G176" s="20"/>
      <c r="H176" s="36"/>
      <c r="I176" s="34"/>
      <c r="J176" s="34"/>
      <c r="K176" s="34"/>
      <c r="L176" s="34"/>
      <c r="M176" s="34">
        <f>F176+L176</f>
        <v>1131.909</v>
      </c>
      <c r="O176" s="4">
        <f>F176/M176</f>
        <v>1</v>
      </c>
      <c r="P176" s="4">
        <f>L176/M176</f>
        <v>0</v>
      </c>
    </row>
    <row r="177" spans="1:16" ht="12.75">
      <c r="A177" s="45"/>
      <c r="B177" s="20"/>
      <c r="C177" s="36"/>
      <c r="D177" s="36"/>
      <c r="E177" s="36"/>
      <c r="F177" s="36"/>
      <c r="G177" s="20"/>
      <c r="H177" s="36"/>
      <c r="I177" s="36"/>
      <c r="J177" s="36"/>
      <c r="K177" s="36"/>
      <c r="L177" s="36"/>
      <c r="M177" s="36"/>
      <c r="O177" s="8"/>
      <c r="P177" s="8"/>
    </row>
    <row r="178" spans="1:16" ht="12.75">
      <c r="A178" s="45" t="s">
        <v>38</v>
      </c>
      <c r="B178" s="20"/>
      <c r="C178" s="36">
        <f>SUM(C172:C177)/5</f>
        <v>429.488</v>
      </c>
      <c r="D178" s="36">
        <f>SUM(D172:D177)/5</f>
        <v>0</v>
      </c>
      <c r="E178" s="36">
        <f>SUM(E172:E177)/5</f>
        <v>429.488</v>
      </c>
      <c r="F178" s="36">
        <f>SUM(F172:F177)/5</f>
        <v>1551.5986</v>
      </c>
      <c r="G178" s="20"/>
      <c r="H178" s="36"/>
      <c r="I178" s="36"/>
      <c r="J178" s="36"/>
      <c r="K178" s="36"/>
      <c r="L178" s="36"/>
      <c r="M178" s="36">
        <f>SUM(M172:M177)/5</f>
        <v>1551.5986</v>
      </c>
      <c r="O178" s="4">
        <f>F178/M178</f>
        <v>1</v>
      </c>
      <c r="P178" s="4">
        <f>L178/M178</f>
        <v>0</v>
      </c>
    </row>
    <row r="179" spans="1:16" ht="12.75">
      <c r="A179" s="45"/>
      <c r="B179" s="20"/>
      <c r="C179" s="36"/>
      <c r="D179" s="36"/>
      <c r="E179" s="36"/>
      <c r="F179" s="36"/>
      <c r="G179" s="20"/>
      <c r="H179" s="36"/>
      <c r="I179" s="36"/>
      <c r="J179" s="36"/>
      <c r="K179" s="36"/>
      <c r="L179" s="36"/>
      <c r="M179" s="36"/>
      <c r="O179" s="8"/>
      <c r="P179" s="8"/>
    </row>
    <row r="180" spans="1:16" ht="12.75">
      <c r="A180" s="45">
        <v>1341</v>
      </c>
      <c r="B180" s="20"/>
      <c r="C180" s="34">
        <v>313.596</v>
      </c>
      <c r="D180" s="34"/>
      <c r="E180" s="34">
        <f>C180+D180</f>
        <v>313.596</v>
      </c>
      <c r="F180" s="34">
        <v>1131.909</v>
      </c>
      <c r="G180" s="20"/>
      <c r="H180" s="36"/>
      <c r="I180" s="34"/>
      <c r="J180" s="34"/>
      <c r="K180" s="34"/>
      <c r="L180" s="34"/>
      <c r="M180" s="34">
        <f>F180+L180</f>
        <v>1131.909</v>
      </c>
      <c r="O180" s="4">
        <f>F180/M180</f>
        <v>1</v>
      </c>
      <c r="P180" s="4">
        <f>L180/M180</f>
        <v>0</v>
      </c>
    </row>
    <row r="181" spans="1:16" ht="12.75">
      <c r="A181" s="45">
        <v>1342</v>
      </c>
      <c r="B181" s="20"/>
      <c r="C181" s="34">
        <v>1489.366</v>
      </c>
      <c r="D181" s="34"/>
      <c r="E181" s="34">
        <f>C181+D181</f>
        <v>1489.366</v>
      </c>
      <c r="F181" s="34">
        <v>5365.527</v>
      </c>
      <c r="H181" s="36"/>
      <c r="I181" s="34"/>
      <c r="J181" s="34"/>
      <c r="K181" s="34"/>
      <c r="L181" s="34"/>
      <c r="M181" s="34">
        <f>F181+L181</f>
        <v>5365.527</v>
      </c>
      <c r="O181" s="4">
        <f>F181/M181</f>
        <v>1</v>
      </c>
      <c r="P181" s="4">
        <f>L181/M181</f>
        <v>0</v>
      </c>
    </row>
    <row r="182" spans="1:16" ht="12.75">
      <c r="A182" s="45">
        <v>1343</v>
      </c>
      <c r="B182" s="20"/>
      <c r="C182" s="34">
        <v>4096.418</v>
      </c>
      <c r="D182" s="34"/>
      <c r="E182" s="34">
        <f>C182+D182</f>
        <v>4096.418</v>
      </c>
      <c r="F182" s="34">
        <v>14753.08</v>
      </c>
      <c r="H182" s="36"/>
      <c r="I182" s="34"/>
      <c r="J182" s="34"/>
      <c r="K182" s="34"/>
      <c r="L182" s="34"/>
      <c r="M182" s="34">
        <f>F182+L182</f>
        <v>14753.08</v>
      </c>
      <c r="O182" s="4">
        <f>F182/M182</f>
        <v>1</v>
      </c>
      <c r="P182" s="4">
        <f>L182/M182</f>
        <v>0</v>
      </c>
    </row>
    <row r="183" spans="1:16" ht="12.75">
      <c r="A183" s="45">
        <v>1344</v>
      </c>
      <c r="B183" s="20"/>
      <c r="C183" s="34">
        <v>11702.486</v>
      </c>
      <c r="D183" s="34"/>
      <c r="E183" s="34">
        <f>C183+D183</f>
        <v>11702.486</v>
      </c>
      <c r="F183" s="34">
        <v>40627.44</v>
      </c>
      <c r="H183" s="36"/>
      <c r="I183" s="34">
        <v>936.47</v>
      </c>
      <c r="J183" s="34"/>
      <c r="K183" s="34">
        <f>I183+J183</f>
        <v>936.47</v>
      </c>
      <c r="L183" s="34">
        <v>39327.241</v>
      </c>
      <c r="M183" s="34">
        <f>F183+L183</f>
        <v>79954.68100000001</v>
      </c>
      <c r="O183" s="4">
        <f>F183/M183</f>
        <v>0.5081308497747618</v>
      </c>
      <c r="P183" s="4">
        <f>L183/M183</f>
        <v>0.4918691502252382</v>
      </c>
    </row>
    <row r="184" spans="1:16" ht="12.75">
      <c r="A184" s="45">
        <v>1345</v>
      </c>
      <c r="B184" s="20"/>
      <c r="C184" s="34">
        <v>7229.722</v>
      </c>
      <c r="D184" s="34">
        <v>555.694</v>
      </c>
      <c r="E184" s="34">
        <f>C184+D184</f>
        <v>7785.415999999999</v>
      </c>
      <c r="F184" s="34">
        <v>26674.41</v>
      </c>
      <c r="H184" s="36"/>
      <c r="I184" s="34">
        <v>263.585</v>
      </c>
      <c r="J184" s="34"/>
      <c r="K184" s="34">
        <f>I184+J184</f>
        <v>263.585</v>
      </c>
      <c r="L184" s="34">
        <v>9970.181</v>
      </c>
      <c r="M184" s="34">
        <f>F184+L184</f>
        <v>36644.591</v>
      </c>
      <c r="O184" s="4">
        <f>F184/M184</f>
        <v>0.7279221645562916</v>
      </c>
      <c r="P184" s="4">
        <f>L184/M184</f>
        <v>0.27207783544370845</v>
      </c>
    </row>
    <row r="185" spans="1:16" ht="12.75">
      <c r="A185" s="45"/>
      <c r="B185" s="20"/>
      <c r="C185" s="36"/>
      <c r="D185" s="36"/>
      <c r="E185" s="36"/>
      <c r="F185" s="36"/>
      <c r="H185" s="36"/>
      <c r="I185" s="36"/>
      <c r="J185" s="36"/>
      <c r="K185" s="36"/>
      <c r="L185" s="36"/>
      <c r="M185" s="36"/>
      <c r="O185" s="8"/>
      <c r="P185" s="8"/>
    </row>
    <row r="186" spans="1:16" ht="12.75">
      <c r="A186" s="45" t="s">
        <v>39</v>
      </c>
      <c r="B186" s="20"/>
      <c r="C186" s="36">
        <f>SUM(C180:C185)/5</f>
        <v>4966.3176</v>
      </c>
      <c r="D186" s="36">
        <f>SUM(D180:D185)/5</f>
        <v>111.13879999999999</v>
      </c>
      <c r="E186" s="36">
        <f>SUM(E180:E185)/5</f>
        <v>5077.4564</v>
      </c>
      <c r="F186" s="36">
        <f>SUM(F180:F185)/5</f>
        <v>17710.4732</v>
      </c>
      <c r="H186" s="36"/>
      <c r="I186" s="36">
        <f>SUM(I180:I185)/5</f>
        <v>240.01100000000002</v>
      </c>
      <c r="J186" s="36"/>
      <c r="K186" s="36">
        <f>SUM(K180:K185)/5</f>
        <v>240.01100000000002</v>
      </c>
      <c r="L186" s="36">
        <f>SUM(L180:L185)/5</f>
        <v>9859.484400000001</v>
      </c>
      <c r="M186" s="36">
        <f>SUM(M180:M185)/5</f>
        <v>27569.9576</v>
      </c>
      <c r="O186" s="4">
        <f>F186/M186</f>
        <v>0.6423830408792504</v>
      </c>
      <c r="P186" s="4">
        <f>L186/M186</f>
        <v>0.35761695912074964</v>
      </c>
    </row>
    <row r="187" spans="1:16" ht="12.75">
      <c r="A187" s="45"/>
      <c r="B187" s="20"/>
      <c r="C187" s="36"/>
      <c r="D187" s="36"/>
      <c r="E187" s="36"/>
      <c r="F187" s="36"/>
      <c r="H187" s="36"/>
      <c r="I187" s="36"/>
      <c r="J187" s="36"/>
      <c r="K187" s="36"/>
      <c r="L187" s="36"/>
      <c r="M187" s="36"/>
      <c r="O187" s="8"/>
      <c r="P187" s="8"/>
    </row>
    <row r="188" spans="1:16" ht="12.75">
      <c r="A188" s="45">
        <v>1346</v>
      </c>
      <c r="B188" s="20"/>
      <c r="C188" s="34">
        <v>2228.384</v>
      </c>
      <c r="D188" s="34">
        <v>68.854</v>
      </c>
      <c r="E188" s="34">
        <f>C188+D188</f>
        <v>2297.238</v>
      </c>
      <c r="F188" s="34">
        <v>8046.58</v>
      </c>
      <c r="H188" s="36"/>
      <c r="I188" s="34">
        <v>214.237</v>
      </c>
      <c r="J188" s="34"/>
      <c r="K188" s="34">
        <f>I188+J188</f>
        <v>214.237</v>
      </c>
      <c r="L188" s="34">
        <v>8324.616</v>
      </c>
      <c r="M188" s="34">
        <f>F188+L188</f>
        <v>16371.196</v>
      </c>
      <c r="O188" s="4">
        <f>F188/M188</f>
        <v>0.4915083784959877</v>
      </c>
      <c r="P188" s="4">
        <f>L188/M188</f>
        <v>0.5084916215040123</v>
      </c>
    </row>
    <row r="189" spans="1:16" ht="12.75">
      <c r="A189" s="45">
        <v>1347</v>
      </c>
      <c r="B189" s="20"/>
      <c r="C189" s="34">
        <v>1327.067</v>
      </c>
      <c r="D189" s="34">
        <v>30.457</v>
      </c>
      <c r="E189" s="34">
        <f>C189+D189</f>
        <v>1357.5240000000001</v>
      </c>
      <c r="F189" s="34">
        <v>4829.07</v>
      </c>
      <c r="H189" s="36"/>
      <c r="I189" s="34">
        <v>909.829</v>
      </c>
      <c r="J189" s="34"/>
      <c r="K189" s="34">
        <f>I189+J189</f>
        <v>909.829</v>
      </c>
      <c r="L189" s="34">
        <f>40.2192605657823*I189</f>
        <v>36592.64962130514</v>
      </c>
      <c r="M189" s="34">
        <f>F189+L189</f>
        <v>41421.71962130514</v>
      </c>
      <c r="O189" s="4">
        <f>F189/M189</f>
        <v>0.11658304010913592</v>
      </c>
      <c r="P189" s="4">
        <f>L189/M189</f>
        <v>0.8834169598908641</v>
      </c>
    </row>
    <row r="190" spans="1:16" ht="12.75">
      <c r="A190" s="45">
        <v>1348</v>
      </c>
      <c r="B190" s="20"/>
      <c r="C190" s="34">
        <v>2369.235</v>
      </c>
      <c r="D190" s="34"/>
      <c r="E190" s="34">
        <f>C190+D190</f>
        <v>2369.235</v>
      </c>
      <c r="F190" s="34">
        <v>8460.15</v>
      </c>
      <c r="H190" s="36"/>
      <c r="I190" s="34">
        <v>1076.587</v>
      </c>
      <c r="J190" s="34"/>
      <c r="K190" s="34">
        <f>I190+J190</f>
        <v>1076.587</v>
      </c>
      <c r="L190" s="34">
        <f>40.2192605657823*I190</f>
        <v>43299.53307473387</v>
      </c>
      <c r="M190" s="34">
        <f>F190+L190</f>
        <v>51759.68307473387</v>
      </c>
      <c r="O190" s="4">
        <f>F190/M190</f>
        <v>0.1634505757654023</v>
      </c>
      <c r="P190" s="4">
        <f>L190/M190</f>
        <v>0.8365494242345977</v>
      </c>
    </row>
    <row r="191" spans="1:16" ht="12.75">
      <c r="A191" s="45">
        <v>1349</v>
      </c>
      <c r="B191" s="20"/>
      <c r="C191" s="34">
        <v>1745.573</v>
      </c>
      <c r="D191" s="34"/>
      <c r="E191" s="34">
        <f>C191+D191</f>
        <v>1745.573</v>
      </c>
      <c r="F191" s="34">
        <v>6269.5</v>
      </c>
      <c r="H191" s="36"/>
      <c r="I191" s="34">
        <v>549.947</v>
      </c>
      <c r="J191" s="34"/>
      <c r="K191" s="34">
        <f>I191+J191</f>
        <v>549.947</v>
      </c>
      <c r="L191" s="34">
        <f>40.2192605657823*I191</f>
        <v>22118.461690370277</v>
      </c>
      <c r="M191" s="34">
        <f>F191+L191</f>
        <v>28387.961690370277</v>
      </c>
      <c r="O191" s="4">
        <f>F191/M191</f>
        <v>0.22085065734489598</v>
      </c>
      <c r="P191" s="4">
        <f>L191/M191</f>
        <v>0.779149342655104</v>
      </c>
    </row>
    <row r="192" spans="1:16" ht="12.75">
      <c r="A192" s="45">
        <v>1350</v>
      </c>
      <c r="B192" s="20"/>
      <c r="C192" s="34">
        <v>2185.685</v>
      </c>
      <c r="D192" s="34"/>
      <c r="E192" s="34">
        <f>C192+D192</f>
        <v>2185.685</v>
      </c>
      <c r="F192" s="34">
        <v>7849.07</v>
      </c>
      <c r="H192" s="36"/>
      <c r="I192" s="34">
        <v>628.585</v>
      </c>
      <c r="J192" s="34"/>
      <c r="K192" s="34">
        <f>I192+J192</f>
        <v>628.585</v>
      </c>
      <c r="L192" s="34">
        <f>40.2192605657823*I192</f>
        <v>25281.22390274227</v>
      </c>
      <c r="M192" s="34">
        <f>F192+L192</f>
        <v>33130.29390274227</v>
      </c>
      <c r="O192" s="4">
        <f>F192/M192</f>
        <v>0.23691519378131187</v>
      </c>
      <c r="P192" s="4">
        <f>L192/M192</f>
        <v>0.7630848062186881</v>
      </c>
    </row>
    <row r="193" spans="1:16" ht="12.75">
      <c r="A193" s="45"/>
      <c r="B193" s="20"/>
      <c r="C193" s="36"/>
      <c r="D193" s="36"/>
      <c r="E193" s="36"/>
      <c r="F193" s="36"/>
      <c r="H193" s="36"/>
      <c r="I193" s="36"/>
      <c r="J193" s="36"/>
      <c r="K193" s="36"/>
      <c r="L193" s="36"/>
      <c r="M193" s="36"/>
      <c r="O193" s="8"/>
      <c r="P193" s="8"/>
    </row>
    <row r="194" spans="1:16" ht="12.75">
      <c r="A194" s="45" t="s">
        <v>44</v>
      </c>
      <c r="B194" s="20"/>
      <c r="C194" s="36">
        <f>SUM(C188:C193)/5</f>
        <v>1971.1888</v>
      </c>
      <c r="D194" s="36">
        <f>SUM(D188:D193)/5</f>
        <v>19.8622</v>
      </c>
      <c r="E194" s="36">
        <f>SUM(E188:E193)/5</f>
        <v>1991.051</v>
      </c>
      <c r="F194" s="36">
        <f>SUM(F188:F193)/5</f>
        <v>7090.873999999999</v>
      </c>
      <c r="H194" s="36"/>
      <c r="I194" s="36">
        <f>SUM(I188:I193)/5</f>
        <v>675.8370000000001</v>
      </c>
      <c r="J194" s="36"/>
      <c r="K194" s="36">
        <f>SUM(K188:K193)/5</f>
        <v>675.8370000000001</v>
      </c>
      <c r="L194" s="36">
        <f>SUM(L188:L193)/5</f>
        <v>27123.29685783031</v>
      </c>
      <c r="M194" s="36">
        <f>SUM(M188:M193)/5</f>
        <v>34214.17085783031</v>
      </c>
      <c r="O194" s="4">
        <f>F194/M194</f>
        <v>0.20724962266262753</v>
      </c>
      <c r="P194" s="4">
        <f>L194/M194</f>
        <v>0.7927503773373725</v>
      </c>
    </row>
    <row r="195" spans="1:16" ht="12.75">
      <c r="A195" s="45"/>
      <c r="B195" s="20"/>
      <c r="C195" s="36"/>
      <c r="D195" s="36"/>
      <c r="E195" s="36"/>
      <c r="F195" s="36"/>
      <c r="H195" s="36"/>
      <c r="I195" s="36"/>
      <c r="J195" s="36"/>
      <c r="K195" s="36"/>
      <c r="L195" s="36"/>
      <c r="M195" s="36"/>
      <c r="O195" s="8"/>
      <c r="P195" s="8"/>
    </row>
    <row r="196" spans="1:16" ht="12.75">
      <c r="A196" s="45">
        <v>1351</v>
      </c>
      <c r="B196" s="20"/>
      <c r="C196" s="34">
        <v>5786.309</v>
      </c>
      <c r="D196" s="34"/>
      <c r="E196" s="34">
        <f>C196+D196</f>
        <v>5786.309</v>
      </c>
      <c r="F196" s="34">
        <v>21754.81</v>
      </c>
      <c r="H196" s="36"/>
      <c r="I196" s="34">
        <v>1783.759</v>
      </c>
      <c r="J196" s="34"/>
      <c r="K196" s="34">
        <f>I196+J196</f>
        <v>1783.759</v>
      </c>
      <c r="L196" s="34">
        <v>76759.448</v>
      </c>
      <c r="M196" s="34">
        <f>F196+L196</f>
        <v>98514.258</v>
      </c>
      <c r="O196" s="4">
        <f>F196/M196</f>
        <v>0.2208290499432072</v>
      </c>
      <c r="P196" s="4">
        <f>L196/M196</f>
        <v>0.7791709500567928</v>
      </c>
    </row>
    <row r="197" spans="1:16" ht="12.75">
      <c r="A197" s="45">
        <v>1352</v>
      </c>
      <c r="B197" s="20"/>
      <c r="C197" s="34">
        <v>21023.793</v>
      </c>
      <c r="D197" s="34"/>
      <c r="E197" s="34">
        <f>C197+D197</f>
        <v>21023.793</v>
      </c>
      <c r="F197" s="34">
        <f>3.86194838323702*E197</f>
        <v>81192.80338585978</v>
      </c>
      <c r="H197" s="36"/>
      <c r="I197" s="34">
        <v>1968.75</v>
      </c>
      <c r="J197" s="34"/>
      <c r="K197" s="34">
        <f>I197+J197</f>
        <v>1968.75</v>
      </c>
      <c r="L197" s="34">
        <f>43.0920648919096*K197</f>
        <v>84837.50275594703</v>
      </c>
      <c r="M197" s="34">
        <f>F197+L197</f>
        <v>166030.30614180682</v>
      </c>
      <c r="O197" s="4">
        <f>F197/M197</f>
        <v>0.48902399370698524</v>
      </c>
      <c r="P197" s="4">
        <f>L197/M197</f>
        <v>0.5109760062930147</v>
      </c>
    </row>
    <row r="198" spans="1:16" ht="12.75">
      <c r="A198" s="45">
        <v>1353</v>
      </c>
      <c r="B198" s="20"/>
      <c r="C198" s="34">
        <v>25367.285</v>
      </c>
      <c r="D198" s="34">
        <v>880.071</v>
      </c>
      <c r="E198" s="34">
        <f>C198+D198</f>
        <v>26247.356</v>
      </c>
      <c r="F198" s="34">
        <f>3.86194838323702*E198</f>
        <v>101365.93406844648</v>
      </c>
      <c r="H198" s="36"/>
      <c r="I198" s="34">
        <v>994.321</v>
      </c>
      <c r="J198" s="34"/>
      <c r="K198" s="34">
        <f>I198+J198</f>
        <v>994.321</v>
      </c>
      <c r="L198" s="34">
        <f>43.0920648919096*K198</f>
        <v>42847.34505538845</v>
      </c>
      <c r="M198" s="34">
        <f>F198+L198</f>
        <v>144213.27912383492</v>
      </c>
      <c r="O198" s="4">
        <f>F198/M198</f>
        <v>0.7028890451995359</v>
      </c>
      <c r="P198" s="4">
        <f>L198/M198</f>
        <v>0.29711095480046423</v>
      </c>
    </row>
    <row r="199" spans="1:16" ht="12.75">
      <c r="A199" s="45">
        <v>1354</v>
      </c>
      <c r="B199" s="20"/>
      <c r="C199" s="34">
        <v>18451.686</v>
      </c>
      <c r="D199" s="34">
        <v>4224.347</v>
      </c>
      <c r="E199" s="34">
        <f>C199+D199</f>
        <v>22676.033000000003</v>
      </c>
      <c r="F199" s="34">
        <f>3.86194838323702*E199</f>
        <v>87573.66898257931</v>
      </c>
      <c r="H199" s="36"/>
      <c r="I199" s="34">
        <v>3297.389</v>
      </c>
      <c r="J199" s="34"/>
      <c r="K199" s="34">
        <f>I199+J199</f>
        <v>3297.389</v>
      </c>
      <c r="L199" s="34">
        <f>43.0920648919096*K199</f>
        <v>142091.30076186892</v>
      </c>
      <c r="M199" s="34">
        <f>F199+L199</f>
        <v>229664.96974444823</v>
      </c>
      <c r="O199" s="4">
        <f>F199/M199</f>
        <v>0.3813105197541614</v>
      </c>
      <c r="P199" s="4">
        <f>L199/M199</f>
        <v>0.6186894802458386</v>
      </c>
    </row>
    <row r="200" spans="1:16" ht="12.75">
      <c r="A200" s="45">
        <v>1355</v>
      </c>
      <c r="B200" s="20"/>
      <c r="C200" s="34">
        <v>9900.475</v>
      </c>
      <c r="D200" s="34">
        <v>1580.559</v>
      </c>
      <c r="E200" s="34">
        <f>C200+D200</f>
        <v>11481.034</v>
      </c>
      <c r="F200" s="34">
        <f>3.86194838323702*E200</f>
        <v>44339.16069418925</v>
      </c>
      <c r="H200" s="36"/>
      <c r="I200" s="34">
        <v>1654.668</v>
      </c>
      <c r="J200" s="34"/>
      <c r="K200" s="34">
        <f>I200+J200</f>
        <v>1654.668</v>
      </c>
      <c r="L200" s="34">
        <f>43.0920648919096*K200</f>
        <v>71303.06083056628</v>
      </c>
      <c r="M200" s="34">
        <f>F200+L200</f>
        <v>115642.22152475553</v>
      </c>
      <c r="O200" s="4">
        <f>F200/M200</f>
        <v>0.383416715016129</v>
      </c>
      <c r="P200" s="4">
        <f>L200/M200</f>
        <v>0.6165832849838709</v>
      </c>
    </row>
    <row r="201" spans="1:16" ht="12.75">
      <c r="A201" s="45"/>
      <c r="B201" s="20"/>
      <c r="C201" s="36"/>
      <c r="D201" s="36"/>
      <c r="E201" s="36"/>
      <c r="F201" s="36"/>
      <c r="H201" s="36"/>
      <c r="I201" s="36"/>
      <c r="J201" s="36"/>
      <c r="K201" s="36"/>
      <c r="L201" s="36"/>
      <c r="M201" s="36"/>
      <c r="O201" s="8"/>
      <c r="P201" s="8"/>
    </row>
    <row r="202" spans="1:16" ht="12.75">
      <c r="A202" s="45" t="s">
        <v>48</v>
      </c>
      <c r="B202" s="20"/>
      <c r="C202" s="36">
        <f>SUM(C196:C201)/5</f>
        <v>16105.909600000003</v>
      </c>
      <c r="D202" s="36">
        <f>SUM(D196:D201)/5</f>
        <v>1336.9954</v>
      </c>
      <c r="E202" s="36">
        <f>SUM(E196:E201)/5</f>
        <v>17442.905000000002</v>
      </c>
      <c r="F202" s="36">
        <f>SUM(F196:F201)/5</f>
        <v>67245.27542621497</v>
      </c>
      <c r="H202" s="36"/>
      <c r="I202" s="36">
        <f>SUM(I196:I201)/5</f>
        <v>1939.7774000000002</v>
      </c>
      <c r="J202" s="36"/>
      <c r="K202" s="36">
        <f>SUM(K196:K201)/5</f>
        <v>1939.7774000000002</v>
      </c>
      <c r="L202" s="36">
        <f>SUM(L196:L201)/5</f>
        <v>83567.73148075413</v>
      </c>
      <c r="M202" s="36">
        <f>SUM(M196:M201)/5</f>
        <v>150813.0069069691</v>
      </c>
      <c r="O202" s="4">
        <f>F202/M202</f>
        <v>0.44588511830213734</v>
      </c>
      <c r="P202" s="4">
        <f>L202/M202</f>
        <v>0.5541148816978627</v>
      </c>
    </row>
    <row r="203" spans="1:16" ht="12.75">
      <c r="A203" s="45"/>
      <c r="B203" s="20"/>
      <c r="C203" s="36"/>
      <c r="D203" s="36"/>
      <c r="E203" s="36"/>
      <c r="F203" s="36"/>
      <c r="H203" s="36"/>
      <c r="I203" s="36"/>
      <c r="J203" s="36"/>
      <c r="K203" s="36"/>
      <c r="L203" s="36"/>
      <c r="M203" s="36"/>
      <c r="O203" s="8"/>
      <c r="P203" s="8"/>
    </row>
    <row r="204" spans="1:16" ht="12.75">
      <c r="A204" s="45">
        <v>1356</v>
      </c>
      <c r="B204" s="20"/>
      <c r="C204" s="34">
        <v>9097.846</v>
      </c>
      <c r="D204" s="34"/>
      <c r="E204" s="34">
        <f>C204+D204</f>
        <v>9097.846</v>
      </c>
      <c r="F204" s="34">
        <f>3.86194838323702*E204</f>
        <v>35135.411650639384</v>
      </c>
      <c r="H204" s="36"/>
      <c r="I204" s="34">
        <v>482.003</v>
      </c>
      <c r="J204" s="34"/>
      <c r="K204" s="34">
        <f>I204+J204</f>
        <v>482.003</v>
      </c>
      <c r="L204" s="34">
        <f>43.0920648919096*K204</f>
        <v>20770.504554095103</v>
      </c>
      <c r="M204" s="34">
        <f>F204+L204</f>
        <v>55905.91620473449</v>
      </c>
      <c r="O204" s="4">
        <f>F204/M204</f>
        <v>0.6284739440092367</v>
      </c>
      <c r="P204" s="4">
        <f>L204/M204</f>
        <v>0.37152605599076327</v>
      </c>
    </row>
    <row r="205" spans="1:16" ht="12.75">
      <c r="A205" s="45">
        <v>1357</v>
      </c>
      <c r="B205" s="20"/>
      <c r="C205" s="34">
        <v>5538.972</v>
      </c>
      <c r="D205" s="34"/>
      <c r="E205" s="34">
        <f>C205+D205</f>
        <v>5538.972</v>
      </c>
      <c r="F205" s="34">
        <f>3.86194838323702*E205</f>
        <v>21391.223960195122</v>
      </c>
      <c r="H205" s="36"/>
      <c r="I205" s="34">
        <v>1814.69</v>
      </c>
      <c r="J205" s="34"/>
      <c r="K205" s="34">
        <f>I205+J205</f>
        <v>1814.69</v>
      </c>
      <c r="L205" s="34">
        <f>43.0920648919096*K205</f>
        <v>78198.73923869943</v>
      </c>
      <c r="M205" s="34">
        <f>F205+L205</f>
        <v>99589.96319889455</v>
      </c>
      <c r="O205" s="4">
        <f>F205/M205</f>
        <v>0.21479296982441867</v>
      </c>
      <c r="P205" s="4">
        <f>L205/M205</f>
        <v>0.7852070301755814</v>
      </c>
    </row>
    <row r="206" spans="1:16" ht="12.75">
      <c r="A206" s="45">
        <v>1358</v>
      </c>
      <c r="B206" s="20"/>
      <c r="C206" s="34">
        <v>3188.708</v>
      </c>
      <c r="D206" s="34"/>
      <c r="E206" s="34">
        <f>C206+D206</f>
        <v>3188.708</v>
      </c>
      <c r="F206" s="34">
        <f>3.86194838323702*E206</f>
        <v>12314.625705214952</v>
      </c>
      <c r="H206" s="36"/>
      <c r="I206" s="34">
        <v>2602.969</v>
      </c>
      <c r="J206" s="34"/>
      <c r="K206" s="34">
        <f>I206+J206</f>
        <v>2602.969</v>
      </c>
      <c r="L206" s="34">
        <f>43.0920648919096*K206</f>
        <v>112167.30905962904</v>
      </c>
      <c r="M206" s="34">
        <f>F206+L206</f>
        <v>124481.93476484399</v>
      </c>
      <c r="O206" s="4">
        <f>F206/M206</f>
        <v>0.09892701080263762</v>
      </c>
      <c r="P206" s="4">
        <f>L206/M206</f>
        <v>0.9010729891973625</v>
      </c>
    </row>
    <row r="207" spans="1:16" ht="12.75">
      <c r="A207" s="45">
        <v>1359</v>
      </c>
      <c r="B207" s="20"/>
      <c r="C207" s="34">
        <v>2698.803</v>
      </c>
      <c r="D207" s="34"/>
      <c r="E207" s="34">
        <f>C207+D207</f>
        <v>2698.803</v>
      </c>
      <c r="F207" s="34">
        <f>3.86194838323702*E207</f>
        <v>10422.637882525218</v>
      </c>
      <c r="H207" s="36"/>
      <c r="I207" s="34">
        <v>2273.936</v>
      </c>
      <c r="J207" s="34"/>
      <c r="K207" s="34">
        <f>I207+J207</f>
        <v>2273.936</v>
      </c>
      <c r="L207" s="34">
        <f>43.0920648919096*K207</f>
        <v>97988.59767204936</v>
      </c>
      <c r="M207" s="34">
        <f>F207+L207</f>
        <v>108411.23555457458</v>
      </c>
      <c r="O207" s="4">
        <f>F207/M207</f>
        <v>0.09613983116425628</v>
      </c>
      <c r="P207" s="4">
        <f>L207/M207</f>
        <v>0.9038601688357437</v>
      </c>
    </row>
    <row r="208" spans="1:16" ht="12.75">
      <c r="A208" s="45">
        <v>1360</v>
      </c>
      <c r="B208" s="20"/>
      <c r="C208" s="34">
        <v>1590.753</v>
      </c>
      <c r="D208" s="34"/>
      <c r="E208" s="34">
        <f>C208+D208</f>
        <v>1590.753</v>
      </c>
      <c r="F208" s="34">
        <f>3.86194838323702*E208</f>
        <v>6143.405976479438</v>
      </c>
      <c r="H208" s="36"/>
      <c r="I208" s="34">
        <v>1459.876</v>
      </c>
      <c r="J208" s="34"/>
      <c r="K208" s="34">
        <f>I208+J208</f>
        <v>1459.876</v>
      </c>
      <c r="L208" s="34">
        <f>43.0920648919096*K208</f>
        <v>62909.07132614142</v>
      </c>
      <c r="M208" s="34">
        <f>F208+L208</f>
        <v>69052.47730262086</v>
      </c>
      <c r="O208" s="4">
        <f>F208/M208</f>
        <v>0.08896720605049557</v>
      </c>
      <c r="P208" s="4">
        <f>L208/M208</f>
        <v>0.9110327939495044</v>
      </c>
    </row>
    <row r="209" spans="1:16" ht="12.75">
      <c r="A209" s="45"/>
      <c r="B209" s="20"/>
      <c r="C209" s="36"/>
      <c r="D209" s="36"/>
      <c r="E209" s="36"/>
      <c r="F209" s="36"/>
      <c r="H209" s="36"/>
      <c r="I209" s="36"/>
      <c r="J209" s="36"/>
      <c r="K209" s="36"/>
      <c r="L209" s="36"/>
      <c r="M209" s="36"/>
      <c r="O209" s="8"/>
      <c r="P209" s="8"/>
    </row>
    <row r="210" spans="1:16" ht="12.75">
      <c r="A210" s="45" t="s">
        <v>49</v>
      </c>
      <c r="B210" s="20"/>
      <c r="C210" s="36">
        <f>SUM(C204:C209)/5</f>
        <v>4423.0163999999995</v>
      </c>
      <c r="D210" s="36">
        <f>SUM(D204:D209)/5</f>
        <v>0</v>
      </c>
      <c r="E210" s="36">
        <f>SUM(E204:E209)/5</f>
        <v>4423.0163999999995</v>
      </c>
      <c r="F210" s="36">
        <f>SUM(F204:F209)/5</f>
        <v>17081.461035010823</v>
      </c>
      <c r="H210" s="36"/>
      <c r="I210" s="36">
        <f>SUM(I204:I209)/5</f>
        <v>1726.6948</v>
      </c>
      <c r="J210" s="36"/>
      <c r="K210" s="36">
        <f>SUM(K204:K209)/5</f>
        <v>1726.6948</v>
      </c>
      <c r="L210" s="36">
        <f>SUM(L204:L209)/5</f>
        <v>74406.84437012287</v>
      </c>
      <c r="M210" s="36">
        <f>SUM(M204:M209)/5</f>
        <v>91488.30540513368</v>
      </c>
      <c r="O210" s="4">
        <f>F210/M210</f>
        <v>0.18670649717873483</v>
      </c>
      <c r="P210" s="4">
        <f>L210/M210</f>
        <v>0.8132935028212652</v>
      </c>
    </row>
    <row r="211" spans="1:16" ht="12.75">
      <c r="A211" s="45"/>
      <c r="B211" s="20"/>
      <c r="C211" s="36"/>
      <c r="D211" s="36"/>
      <c r="E211" s="36"/>
      <c r="F211" s="36"/>
      <c r="H211" s="36"/>
      <c r="I211" s="36"/>
      <c r="J211" s="36"/>
      <c r="K211" s="36"/>
      <c r="L211" s="36"/>
      <c r="M211" s="36"/>
      <c r="O211" s="8"/>
      <c r="P211" s="8"/>
    </row>
    <row r="212" spans="1:16" ht="12.75">
      <c r="A212" s="45">
        <v>1361</v>
      </c>
      <c r="B212" s="20"/>
      <c r="C212" s="34">
        <v>1558.737</v>
      </c>
      <c r="D212" s="34"/>
      <c r="E212" s="34">
        <f>C212+D212</f>
        <v>1558.737</v>
      </c>
      <c r="F212" s="34">
        <f>3.86194838323702*E212</f>
        <v>6019.761837041723</v>
      </c>
      <c r="H212" s="36"/>
      <c r="I212" s="34">
        <v>4823.84</v>
      </c>
      <c r="J212" s="34"/>
      <c r="K212" s="34">
        <f>I212+J212</f>
        <v>4823.84</v>
      </c>
      <c r="L212" s="34">
        <f>43.0920648919096*K212</f>
        <v>207869.22630818922</v>
      </c>
      <c r="M212" s="34">
        <f>F212+L212</f>
        <v>213888.98814523095</v>
      </c>
      <c r="O212" s="4">
        <f>F212/M212</f>
        <v>0.02814432799576524</v>
      </c>
      <c r="P212" s="4">
        <f>L212/M212</f>
        <v>0.9718556720042347</v>
      </c>
    </row>
    <row r="213" spans="1:16" ht="12.75">
      <c r="A213" s="45">
        <v>1362</v>
      </c>
      <c r="B213" s="20"/>
      <c r="C213" s="34">
        <v>3667.543</v>
      </c>
      <c r="D213" s="34"/>
      <c r="E213" s="34">
        <f>C213+D213</f>
        <v>3667.543</v>
      </c>
      <c r="F213" s="34">
        <f>3.86194838323702*E213</f>
        <v>14163.86175930225</v>
      </c>
      <c r="H213" s="36"/>
      <c r="I213" s="34">
        <v>3043.278</v>
      </c>
      <c r="J213" s="34"/>
      <c r="K213" s="34">
        <f>I213+J213</f>
        <v>3043.278</v>
      </c>
      <c r="L213" s="34">
        <f>43.0920648919096*K213</f>
        <v>131141.13306012086</v>
      </c>
      <c r="M213" s="34">
        <f>F213+L213</f>
        <v>145304.99481942313</v>
      </c>
      <c r="O213" s="4">
        <f>F213/M213</f>
        <v>0.09747677137254848</v>
      </c>
      <c r="P213" s="4">
        <f>L213/M213</f>
        <v>0.9025232286274514</v>
      </c>
    </row>
    <row r="214" spans="1:16" ht="12.75">
      <c r="A214" s="45">
        <v>1363</v>
      </c>
      <c r="B214" s="20"/>
      <c r="C214" s="34">
        <v>815.107</v>
      </c>
      <c r="D214" s="34">
        <v>465.121</v>
      </c>
      <c r="E214" s="34">
        <f>C214+D214</f>
        <v>1280.228</v>
      </c>
      <c r="F214" s="34">
        <f>3.86194838323702*E214</f>
        <v>4944.174454774764</v>
      </c>
      <c r="H214" s="36"/>
      <c r="I214" s="34">
        <v>875.94</v>
      </c>
      <c r="J214" s="34">
        <v>654.793</v>
      </c>
      <c r="K214" s="34">
        <f>I214+J214</f>
        <v>1530.7330000000002</v>
      </c>
      <c r="L214" s="34">
        <f>43.0920648919096*K214</f>
        <v>65962.44576818746</v>
      </c>
      <c r="M214" s="34">
        <f>F214+L214</f>
        <v>70906.62022296223</v>
      </c>
      <c r="O214" s="4">
        <f>F214/M214</f>
        <v>0.06972796671492819</v>
      </c>
      <c r="P214" s="4">
        <f>L214/M214</f>
        <v>0.9302720332850718</v>
      </c>
    </row>
    <row r="215" spans="1:16" ht="12.75">
      <c r="A215" s="45">
        <v>1364</v>
      </c>
      <c r="B215" s="20"/>
      <c r="C215" s="34">
        <v>735.283</v>
      </c>
      <c r="D215" s="34">
        <v>461.244</v>
      </c>
      <c r="E215" s="34">
        <f>C215+D215</f>
        <v>1196.527</v>
      </c>
      <c r="F215" s="34">
        <f>3.86194838323702*E215</f>
        <v>4620.925513149442</v>
      </c>
      <c r="H215" s="36"/>
      <c r="I215" s="34">
        <v>475.437</v>
      </c>
      <c r="J215" s="34">
        <v>684.549</v>
      </c>
      <c r="K215" s="34">
        <f>I215+J215</f>
        <v>1159.9859999999999</v>
      </c>
      <c r="L215" s="34">
        <f>43.0920648919096*K215</f>
        <v>49986.191985706646</v>
      </c>
      <c r="M215" s="34">
        <f>F215+L215</f>
        <v>54607.11749885609</v>
      </c>
      <c r="O215" s="4">
        <f>F215/M215</f>
        <v>0.08462130441597181</v>
      </c>
      <c r="P215" s="4">
        <f>L215/M215</f>
        <v>0.9153786955840282</v>
      </c>
    </row>
    <row r="216" spans="1:16" ht="12.75">
      <c r="A216" s="45">
        <v>1365</v>
      </c>
      <c r="B216" s="20"/>
      <c r="C216" s="34">
        <v>384.508</v>
      </c>
      <c r="D216" s="34">
        <v>66.511</v>
      </c>
      <c r="E216" s="34">
        <f>C216+D216</f>
        <v>451.019</v>
      </c>
      <c r="F216" s="34">
        <f>3.86194838323702*E216</f>
        <v>1741.8120978591774</v>
      </c>
      <c r="H216" s="36"/>
      <c r="I216" s="34">
        <v>363.333</v>
      </c>
      <c r="J216" s="34">
        <v>1155.039</v>
      </c>
      <c r="K216" s="34">
        <f>I216+J216</f>
        <v>1518.372</v>
      </c>
      <c r="L216" s="34">
        <f>43.0920648919096*K216</f>
        <v>65429.784754058564</v>
      </c>
      <c r="M216" s="34">
        <f>F216+L216</f>
        <v>67171.59685191774</v>
      </c>
      <c r="O216" s="4">
        <f>F216/M216</f>
        <v>0.025930782942365747</v>
      </c>
      <c r="P216" s="4">
        <f>L216/M216</f>
        <v>0.9740692170576343</v>
      </c>
    </row>
    <row r="217" spans="1:16" ht="12.75">
      <c r="A217" s="45"/>
      <c r="B217" s="20"/>
      <c r="C217" s="36"/>
      <c r="D217" s="36"/>
      <c r="E217" s="36"/>
      <c r="F217" s="36"/>
      <c r="H217" s="36"/>
      <c r="I217" s="36"/>
      <c r="J217" s="36"/>
      <c r="K217" s="36"/>
      <c r="L217" s="36"/>
      <c r="M217" s="36"/>
      <c r="O217" s="8"/>
      <c r="P217" s="8"/>
    </row>
    <row r="218" spans="1:16" ht="12.75">
      <c r="A218" s="45" t="s">
        <v>50</v>
      </c>
      <c r="B218" s="20"/>
      <c r="C218" s="36">
        <f>SUM(C212:C217)/5</f>
        <v>1432.2356000000002</v>
      </c>
      <c r="D218" s="36">
        <f>SUM(D212:D217)/5</f>
        <v>198.5752</v>
      </c>
      <c r="E218" s="36">
        <f>SUM(E212:E217)/5</f>
        <v>1630.8108000000002</v>
      </c>
      <c r="F218" s="36">
        <f>SUM(F212:F217)/5</f>
        <v>6298.107132425471</v>
      </c>
      <c r="H218" s="36"/>
      <c r="I218" s="36">
        <f>SUM(I212:I217)/5</f>
        <v>1916.3656000000003</v>
      </c>
      <c r="J218" s="36">
        <f>SUM(J212:J217)/5</f>
        <v>498.87620000000004</v>
      </c>
      <c r="K218" s="36">
        <f>SUM(K212:K217)/5</f>
        <v>2415.2418</v>
      </c>
      <c r="L218" s="36">
        <f>SUM(L212:L217)/5</f>
        <v>104077.75637525255</v>
      </c>
      <c r="M218" s="36">
        <f>SUM(M212:M217)/5</f>
        <v>110375.86350767803</v>
      </c>
      <c r="O218" s="4">
        <f>F218/M218</f>
        <v>0.057060546864825736</v>
      </c>
      <c r="P218" s="4">
        <f>L218/M218</f>
        <v>0.9429394531351741</v>
      </c>
    </row>
    <row r="219" spans="1:16" ht="12.75">
      <c r="A219" s="45"/>
      <c r="B219" s="20"/>
      <c r="C219" s="36"/>
      <c r="D219" s="36"/>
      <c r="E219" s="36"/>
      <c r="F219" s="36"/>
      <c r="H219" s="36"/>
      <c r="I219" s="36"/>
      <c r="J219" s="36"/>
      <c r="K219" s="36"/>
      <c r="L219" s="36"/>
      <c r="M219" s="36"/>
      <c r="O219" s="8"/>
      <c r="P219" s="8"/>
    </row>
    <row r="220" spans="1:16" ht="12.75">
      <c r="A220" s="45">
        <v>1366</v>
      </c>
      <c r="B220" s="20"/>
      <c r="C220" s="34">
        <v>0</v>
      </c>
      <c r="D220" s="34">
        <v>0</v>
      </c>
      <c r="E220" s="34">
        <f>C220+D220</f>
        <v>0</v>
      </c>
      <c r="F220" s="34">
        <f>3.86194838323702*E220</f>
        <v>0</v>
      </c>
      <c r="H220" s="36"/>
      <c r="I220" s="34">
        <v>383.347</v>
      </c>
      <c r="J220" s="34">
        <v>1827.667</v>
      </c>
      <c r="K220" s="34">
        <f>I220+J220</f>
        <v>2211.014</v>
      </c>
      <c r="L220" s="34">
        <f>43.0920648919096*K220</f>
        <v>95277.15876492062</v>
      </c>
      <c r="M220" s="34">
        <f>F220+L220</f>
        <v>95277.15876492062</v>
      </c>
      <c r="O220" s="4">
        <f>F220/M220</f>
        <v>0</v>
      </c>
      <c r="P220" s="4">
        <f>L220/M220</f>
        <v>1</v>
      </c>
    </row>
    <row r="221" spans="1:16" ht="12.75">
      <c r="A221" s="45">
        <v>1367</v>
      </c>
      <c r="B221" s="20"/>
      <c r="C221" s="34">
        <v>0</v>
      </c>
      <c r="D221" s="34">
        <v>0</v>
      </c>
      <c r="E221" s="34">
        <f>C221+D221</f>
        <v>0</v>
      </c>
      <c r="F221" s="34">
        <f>3.86194838323702*E221</f>
        <v>0</v>
      </c>
      <c r="H221" s="36"/>
      <c r="I221" s="34">
        <v>257.953</v>
      </c>
      <c r="J221" s="34">
        <v>1367.881</v>
      </c>
      <c r="K221" s="34">
        <f>I221+J221</f>
        <v>1625.834</v>
      </c>
      <c r="L221" s="34">
        <f>43.0920648919096*K221</f>
        <v>70060.54423147296</v>
      </c>
      <c r="M221" s="34">
        <f>F221+L221</f>
        <v>70060.54423147296</v>
      </c>
      <c r="O221" s="4">
        <f>F221/M221</f>
        <v>0</v>
      </c>
      <c r="P221" s="4">
        <f>L221/M221</f>
        <v>1</v>
      </c>
    </row>
    <row r="222" spans="1:16" ht="12.75">
      <c r="A222" s="45">
        <v>1368</v>
      </c>
      <c r="B222" s="20"/>
      <c r="C222" s="34">
        <v>568.039</v>
      </c>
      <c r="D222" s="34"/>
      <c r="E222" s="34">
        <f>C222+D222</f>
        <v>568.039</v>
      </c>
      <c r="F222" s="34">
        <f>3.86194838323702*E222</f>
        <v>2193.7372976655734</v>
      </c>
      <c r="H222" s="36"/>
      <c r="I222" s="34">
        <v>584.865</v>
      </c>
      <c r="J222" s="34">
        <v>906.299</v>
      </c>
      <c r="K222" s="34">
        <f>I222+J222</f>
        <v>1491.164</v>
      </c>
      <c r="L222" s="34">
        <f>43.0920648919096*K222</f>
        <v>64257.33585247949</v>
      </c>
      <c r="M222" s="34">
        <f>F222+L222</f>
        <v>66451.07315014506</v>
      </c>
      <c r="O222" s="4">
        <f>F222/M222</f>
        <v>0.03301281971336808</v>
      </c>
      <c r="P222" s="4">
        <f>L222/M222</f>
        <v>0.9669871802866319</v>
      </c>
    </row>
    <row r="223" spans="1:16" ht="12.75">
      <c r="A223" s="45">
        <v>1369</v>
      </c>
      <c r="B223" s="20"/>
      <c r="C223" s="34">
        <v>397.354</v>
      </c>
      <c r="D223" s="34"/>
      <c r="E223" s="34">
        <f>C223+D223</f>
        <v>397.354</v>
      </c>
      <c r="F223" s="34">
        <f>3.86194838323702*E223</f>
        <v>1534.5606378727628</v>
      </c>
      <c r="H223" s="36"/>
      <c r="I223" s="34">
        <v>1687.442</v>
      </c>
      <c r="J223" s="34">
        <v>557.192</v>
      </c>
      <c r="K223" s="34">
        <f>I223+J223</f>
        <v>2244.634</v>
      </c>
      <c r="L223" s="34">
        <f>43.0920648919096*K223</f>
        <v>96725.91398658662</v>
      </c>
      <c r="M223" s="34">
        <f>F223+L223</f>
        <v>98260.47462445938</v>
      </c>
      <c r="O223" s="4">
        <f>F223/M223</f>
        <v>0.015617272802087339</v>
      </c>
      <c r="P223" s="4">
        <f>L223/M223</f>
        <v>0.9843827271979126</v>
      </c>
    </row>
    <row r="224" spans="1:16" ht="12.75">
      <c r="A224" s="45">
        <v>1370</v>
      </c>
      <c r="B224" s="20"/>
      <c r="C224" s="34">
        <v>503.719</v>
      </c>
      <c r="D224" s="34"/>
      <c r="E224" s="34">
        <f>C224+D224</f>
        <v>503.719</v>
      </c>
      <c r="F224" s="34">
        <f>3.86194838323702*E224</f>
        <v>1945.3367776557684</v>
      </c>
      <c r="H224" s="36"/>
      <c r="I224" s="34">
        <v>515.298</v>
      </c>
      <c r="J224" s="34">
        <v>557.192</v>
      </c>
      <c r="K224" s="34">
        <f>I224+J224</f>
        <v>1072.49</v>
      </c>
      <c r="L224" s="34">
        <f>43.0920648919096*K224</f>
        <v>46215.80867592413</v>
      </c>
      <c r="M224" s="34">
        <f>F224+L224</f>
        <v>48161.1454535799</v>
      </c>
      <c r="O224" s="4">
        <f>F224/M224</f>
        <v>0.04039224481342082</v>
      </c>
      <c r="P224" s="4">
        <f>L224/M224</f>
        <v>0.9596077551865791</v>
      </c>
    </row>
    <row r="225" spans="1:16" ht="12.75">
      <c r="A225" s="45"/>
      <c r="B225" s="20"/>
      <c r="C225" s="36"/>
      <c r="D225" s="36"/>
      <c r="E225" s="36"/>
      <c r="F225" s="36"/>
      <c r="H225" s="36"/>
      <c r="I225" s="36"/>
      <c r="J225" s="36"/>
      <c r="K225" s="36"/>
      <c r="L225" s="36"/>
      <c r="M225" s="36"/>
      <c r="O225" s="8"/>
      <c r="P225" s="8"/>
    </row>
    <row r="226" spans="1:16" ht="12.75">
      <c r="A226" s="45" t="s">
        <v>51</v>
      </c>
      <c r="B226" s="20"/>
      <c r="C226" s="36">
        <f>SUM(C220:C225)/5</f>
        <v>293.8224</v>
      </c>
      <c r="D226" s="36">
        <f>SUM(D220:D225)/5</f>
        <v>0</v>
      </c>
      <c r="E226" s="36">
        <f>SUM(E220:E225)/5</f>
        <v>293.8224</v>
      </c>
      <c r="F226" s="36">
        <f>SUM(F220:F225)/5</f>
        <v>1134.7269426388207</v>
      </c>
      <c r="H226" s="36"/>
      <c r="I226" s="36">
        <f>SUM(I220:I225)/5</f>
        <v>685.781</v>
      </c>
      <c r="J226" s="36">
        <f>SUM(J220:J225)/5</f>
        <v>1043.2462</v>
      </c>
      <c r="K226" s="36">
        <f>SUM(K220:K225)/5</f>
        <v>1729.0272</v>
      </c>
      <c r="L226" s="36">
        <f>SUM(L220:L225)/5</f>
        <v>74507.35230227676</v>
      </c>
      <c r="M226" s="36">
        <f>SUM(M220:M225)/5</f>
        <v>75642.07924491559</v>
      </c>
      <c r="O226" s="4">
        <f>F226/M226</f>
        <v>0.015001265882244945</v>
      </c>
      <c r="P226" s="4">
        <f>L226/M226</f>
        <v>0.9849987341177551</v>
      </c>
    </row>
    <row r="227" spans="1:16" ht="12.75">
      <c r="A227" s="45"/>
      <c r="B227" s="20"/>
      <c r="C227" s="36"/>
      <c r="D227" s="36"/>
      <c r="E227" s="36"/>
      <c r="F227" s="36"/>
      <c r="H227" s="36"/>
      <c r="I227" s="36"/>
      <c r="J227" s="36"/>
      <c r="K227" s="36"/>
      <c r="L227" s="36"/>
      <c r="M227" s="36"/>
      <c r="O227" s="8"/>
      <c r="P227" s="8"/>
    </row>
    <row r="228" spans="1:16" ht="12.75">
      <c r="A228" s="45">
        <v>1371</v>
      </c>
      <c r="B228" s="20"/>
      <c r="C228" s="34">
        <v>207.363</v>
      </c>
      <c r="D228" s="34"/>
      <c r="E228" s="34">
        <f>C228+D228</f>
        <v>207.363</v>
      </c>
      <c r="F228" s="34">
        <f>3.86194838323702*E228</f>
        <v>800.8252025931781</v>
      </c>
      <c r="H228" s="36"/>
      <c r="I228" s="34">
        <v>358.448</v>
      </c>
      <c r="J228" s="34">
        <v>382.903</v>
      </c>
      <c r="K228" s="34">
        <f>I228+J228</f>
        <v>741.351</v>
      </c>
      <c r="L228" s="34">
        <f>43.0920648919096*K228</f>
        <v>31946.345399682075</v>
      </c>
      <c r="M228" s="34">
        <f>F228+L228</f>
        <v>32747.170602275255</v>
      </c>
      <c r="O228" s="4">
        <f>F228/M228</f>
        <v>0.024454790684650392</v>
      </c>
      <c r="P228" s="4">
        <f>L228/M228</f>
        <v>0.9755452093153496</v>
      </c>
    </row>
    <row r="229" spans="1:16" ht="12.75">
      <c r="A229" s="45">
        <v>1372</v>
      </c>
      <c r="B229" s="20"/>
      <c r="C229" s="34">
        <v>45.019</v>
      </c>
      <c r="D229" s="34"/>
      <c r="E229" s="34">
        <f>C229+D229</f>
        <v>45.019</v>
      </c>
      <c r="F229" s="34">
        <f>3.86194838323702*E229</f>
        <v>173.8610542649474</v>
      </c>
      <c r="H229" s="36"/>
      <c r="I229" s="34">
        <v>506.5</v>
      </c>
      <c r="J229" s="34">
        <v>774.177</v>
      </c>
      <c r="K229" s="34">
        <f>I229+J229</f>
        <v>1280.6770000000001</v>
      </c>
      <c r="L229" s="34">
        <f>43.0920648919096*K229</f>
        <v>55187.016389576114</v>
      </c>
      <c r="M229" s="34">
        <f>F229+L229</f>
        <v>55360.87744384106</v>
      </c>
      <c r="O229" s="4">
        <f>F229/M229</f>
        <v>0.003140503949586326</v>
      </c>
      <c r="P229" s="4">
        <f>L229/M229</f>
        <v>0.9968594960504137</v>
      </c>
    </row>
    <row r="230" spans="1:16" ht="12.75">
      <c r="A230" s="45">
        <v>1373</v>
      </c>
      <c r="B230" s="20"/>
      <c r="C230" s="34">
        <v>117.399</v>
      </c>
      <c r="D230" s="34"/>
      <c r="E230" s="34">
        <f>C230+D230</f>
        <v>117.399</v>
      </c>
      <c r="F230" s="34">
        <f>3.86194838323702*E230</f>
        <v>453.3888782436429</v>
      </c>
      <c r="H230" s="36"/>
      <c r="I230" s="34">
        <v>338.733</v>
      </c>
      <c r="J230" s="34">
        <v>791.766</v>
      </c>
      <c r="K230" s="34">
        <f>I230+J230</f>
        <v>1130.499</v>
      </c>
      <c r="L230" s="34">
        <f>43.0920648919096*K230</f>
        <v>48715.53626823891</v>
      </c>
      <c r="M230" s="34">
        <f>F230+L230</f>
        <v>49168.92514648255</v>
      </c>
      <c r="O230" s="4">
        <f>F230/M230</f>
        <v>0.009221045139647058</v>
      </c>
      <c r="P230" s="4">
        <f>L230/M230</f>
        <v>0.990778954860353</v>
      </c>
    </row>
    <row r="231" spans="1:16" ht="12.75">
      <c r="A231" s="45">
        <v>1374</v>
      </c>
      <c r="B231" s="20"/>
      <c r="C231" s="34">
        <v>120.616</v>
      </c>
      <c r="D231" s="34"/>
      <c r="E231" s="34">
        <f>C231+D231</f>
        <v>120.616</v>
      </c>
      <c r="F231" s="34">
        <f>3.86194838323702*E231</f>
        <v>465.8127661925164</v>
      </c>
      <c r="H231" s="36"/>
      <c r="I231" s="34">
        <v>223.753</v>
      </c>
      <c r="J231" s="34">
        <v>320.1</v>
      </c>
      <c r="K231" s="34">
        <f>I231+J231</f>
        <v>543.8530000000001</v>
      </c>
      <c r="L231" s="34">
        <f>43.0920648919096*K231</f>
        <v>23435.748767659716</v>
      </c>
      <c r="M231" s="34">
        <f>F231+L231</f>
        <v>23901.561533852233</v>
      </c>
      <c r="O231" s="4">
        <f>F231/M231</f>
        <v>0.019488800576178966</v>
      </c>
      <c r="P231" s="4">
        <f>L231/M231</f>
        <v>0.980511199423821</v>
      </c>
    </row>
    <row r="232" spans="1:16" ht="12.75">
      <c r="A232" s="45">
        <v>1375</v>
      </c>
      <c r="B232" s="20"/>
      <c r="C232" s="34">
        <v>1094.435</v>
      </c>
      <c r="D232" s="34"/>
      <c r="E232" s="34">
        <f>C232+D232</f>
        <v>1094.435</v>
      </c>
      <c r="F232" s="34">
        <f>3.86194838323702*E232</f>
        <v>4226.651478808008</v>
      </c>
      <c r="H232" s="36"/>
      <c r="I232" s="34">
        <v>244.292</v>
      </c>
      <c r="J232" s="34">
        <v>72.366</v>
      </c>
      <c r="K232" s="34">
        <f>I232+J232</f>
        <v>316.658</v>
      </c>
      <c r="L232" s="34">
        <f>43.0920648919096*K232</f>
        <v>13645.447084542311</v>
      </c>
      <c r="M232" s="34">
        <f>F232+L232</f>
        <v>17872.09856335032</v>
      </c>
      <c r="O232" s="4">
        <f>F232/M232</f>
        <v>0.23649441411852173</v>
      </c>
      <c r="P232" s="4">
        <f>L232/M232</f>
        <v>0.7635055858814783</v>
      </c>
    </row>
    <row r="233" spans="1:16" ht="12.75">
      <c r="A233" s="45"/>
      <c r="B233" s="20"/>
      <c r="C233" s="36"/>
      <c r="D233" s="36"/>
      <c r="E233" s="36"/>
      <c r="F233" s="36"/>
      <c r="H233" s="36"/>
      <c r="I233" s="36"/>
      <c r="J233" s="36"/>
      <c r="K233" s="36"/>
      <c r="L233" s="36"/>
      <c r="M233" s="36"/>
      <c r="O233" s="8"/>
      <c r="P233" s="8"/>
    </row>
    <row r="234" spans="1:16" ht="12.75">
      <c r="A234" s="45" t="s">
        <v>52</v>
      </c>
      <c r="B234" s="20"/>
      <c r="C234" s="36">
        <f>SUM(C228:C233)/5</f>
        <v>316.96639999999996</v>
      </c>
      <c r="D234" s="36">
        <f>SUM(D228:D233)/5</f>
        <v>0</v>
      </c>
      <c r="E234" s="36">
        <f>SUM(E228:E233)/5</f>
        <v>316.96639999999996</v>
      </c>
      <c r="F234" s="36">
        <f>SUM(F228:F233)/5</f>
        <v>1224.1078760204587</v>
      </c>
      <c r="H234" s="36"/>
      <c r="I234" s="36">
        <f>SUM(I228:I233)/5</f>
        <v>334.3452</v>
      </c>
      <c r="J234" s="36">
        <f>SUM(J228:J233)/5</f>
        <v>468.26239999999996</v>
      </c>
      <c r="K234" s="36">
        <f>SUM(K228:K233)/5</f>
        <v>802.6076</v>
      </c>
      <c r="L234" s="36">
        <f>SUM(L228:L233)/5</f>
        <v>34586.01878193983</v>
      </c>
      <c r="M234" s="36">
        <f>SUM(M228:M233)/5</f>
        <v>35810.12665796028</v>
      </c>
      <c r="O234" s="4">
        <f>F234/M234</f>
        <v>0.03418328808810147</v>
      </c>
      <c r="P234" s="4">
        <f>L234/M234</f>
        <v>0.9658167119118987</v>
      </c>
    </row>
    <row r="235" spans="1:16" ht="12.75">
      <c r="A235" s="45"/>
      <c r="B235" s="20"/>
      <c r="C235" s="36"/>
      <c r="D235" s="36"/>
      <c r="E235" s="36"/>
      <c r="F235" s="36"/>
      <c r="H235" s="36"/>
      <c r="I235" s="36"/>
      <c r="J235" s="36"/>
      <c r="K235" s="36"/>
      <c r="L235" s="36"/>
      <c r="M235" s="36"/>
      <c r="O235" s="8"/>
      <c r="P235" s="8"/>
    </row>
    <row r="236" spans="1:16" ht="12.75">
      <c r="A236" s="45">
        <v>1376</v>
      </c>
      <c r="B236" s="20"/>
      <c r="C236" s="34">
        <v>748.838</v>
      </c>
      <c r="D236" s="34"/>
      <c r="E236" s="34">
        <f>C236+D236</f>
        <v>748.838</v>
      </c>
      <c r="F236" s="34">
        <f>3.86194838323702*E236</f>
        <v>2891.9737034064433</v>
      </c>
      <c r="H236" s="36"/>
      <c r="I236" s="34">
        <v>143.574</v>
      </c>
      <c r="J236" s="34">
        <v>123.71</v>
      </c>
      <c r="K236" s="34">
        <f>I236+J236</f>
        <v>267.284</v>
      </c>
      <c r="L236" s="34">
        <f>43.0920648919096*K236</f>
        <v>11517.819472569165</v>
      </c>
      <c r="M236" s="34">
        <f>F236+L236</f>
        <v>14409.793175975608</v>
      </c>
      <c r="O236" s="4">
        <f>F236/M236</f>
        <v>0.20069501817888816</v>
      </c>
      <c r="P236" s="4">
        <f>L236/M236</f>
        <v>0.7993049818211118</v>
      </c>
    </row>
    <row r="237" spans="1:16" ht="12.75">
      <c r="A237" s="45">
        <v>1377</v>
      </c>
      <c r="B237" s="20"/>
      <c r="C237" s="34">
        <v>57.193</v>
      </c>
      <c r="D237" s="34"/>
      <c r="E237" s="34">
        <f>C237+D237</f>
        <v>57.193</v>
      </c>
      <c r="F237" s="34">
        <f>3.86194838323702*E237</f>
        <v>220.87641388247488</v>
      </c>
      <c r="H237" s="36"/>
      <c r="I237" s="34">
        <v>83.096</v>
      </c>
      <c r="J237" s="34">
        <v>124.941</v>
      </c>
      <c r="K237" s="34">
        <f>I237+J237</f>
        <v>208.037</v>
      </c>
      <c r="L237" s="34">
        <f>43.0920648919096*K237</f>
        <v>8964.743903918197</v>
      </c>
      <c r="M237" s="34">
        <f>F237+L237</f>
        <v>9185.620317800673</v>
      </c>
      <c r="O237" s="4">
        <f>F237/M237</f>
        <v>0.024045889797387105</v>
      </c>
      <c r="P237" s="4">
        <f>L237/M237</f>
        <v>0.9759541102026128</v>
      </c>
    </row>
    <row r="238" spans="1:16" ht="12.75">
      <c r="A238" s="45">
        <v>1378</v>
      </c>
      <c r="B238" s="20"/>
      <c r="C238" s="34">
        <v>326.153</v>
      </c>
      <c r="D238" s="34"/>
      <c r="E238" s="34">
        <f>C238+D238</f>
        <v>326.153</v>
      </c>
      <c r="F238" s="34">
        <f>3.86194838323702*E238</f>
        <v>1259.5860510379039</v>
      </c>
      <c r="H238" s="36"/>
      <c r="I238" s="34">
        <v>108.835</v>
      </c>
      <c r="J238" s="34">
        <v>124.941</v>
      </c>
      <c r="K238" s="34">
        <f>I238+J238</f>
        <v>233.776</v>
      </c>
      <c r="L238" s="34">
        <f>43.0920648919096*K238</f>
        <v>10073.89056217106</v>
      </c>
      <c r="M238" s="34">
        <f>F238+L238</f>
        <v>11333.476613208964</v>
      </c>
      <c r="O238" s="4">
        <f>F238/M238</f>
        <v>0.11113854062837866</v>
      </c>
      <c r="P238" s="4">
        <f>L238/M238</f>
        <v>0.8888614593716213</v>
      </c>
    </row>
    <row r="239" spans="1:16" ht="12.75">
      <c r="A239" s="45">
        <v>1379</v>
      </c>
      <c r="B239" s="20"/>
      <c r="C239" s="34">
        <v>326.153</v>
      </c>
      <c r="D239" s="34"/>
      <c r="E239" s="34">
        <f>C239+D239</f>
        <v>326.153</v>
      </c>
      <c r="F239" s="34">
        <f>3.86194838323702*E239</f>
        <v>1259.5860510379039</v>
      </c>
      <c r="H239" s="36"/>
      <c r="I239" s="34">
        <v>108.835</v>
      </c>
      <c r="J239" s="34">
        <v>124.941</v>
      </c>
      <c r="K239" s="34">
        <f>I239+J239</f>
        <v>233.776</v>
      </c>
      <c r="L239" s="34">
        <f>43.0920648919096*K239</f>
        <v>10073.89056217106</v>
      </c>
      <c r="M239" s="34">
        <f>F239+L239</f>
        <v>11333.476613208964</v>
      </c>
      <c r="O239" s="4">
        <f>F239/M239</f>
        <v>0.11113854062837866</v>
      </c>
      <c r="P239" s="4">
        <f>L239/M239</f>
        <v>0.8888614593716213</v>
      </c>
    </row>
    <row r="240" spans="1:16" ht="12.75">
      <c r="A240" s="45">
        <v>1380</v>
      </c>
      <c r="B240" s="20"/>
      <c r="C240" s="34">
        <v>326.153</v>
      </c>
      <c r="D240" s="34"/>
      <c r="E240" s="34">
        <f>C240+D240</f>
        <v>326.153</v>
      </c>
      <c r="F240" s="34">
        <f>3.86194838323702*E240</f>
        <v>1259.5860510379039</v>
      </c>
      <c r="H240" s="36"/>
      <c r="I240" s="34">
        <v>108.835</v>
      </c>
      <c r="J240" s="34">
        <v>124.941</v>
      </c>
      <c r="K240" s="34">
        <f>I240+J240</f>
        <v>233.776</v>
      </c>
      <c r="L240" s="34">
        <f>43.0920648919096*K240</f>
        <v>10073.89056217106</v>
      </c>
      <c r="M240" s="34">
        <f>F240+L240</f>
        <v>11333.476613208964</v>
      </c>
      <c r="O240" s="4">
        <f>F240/M240</f>
        <v>0.11113854062837866</v>
      </c>
      <c r="P240" s="4">
        <f>L240/M240</f>
        <v>0.8888614593716213</v>
      </c>
    </row>
    <row r="241" spans="1:16" ht="12.75">
      <c r="A241" s="45"/>
      <c r="B241" s="20"/>
      <c r="C241" s="36"/>
      <c r="D241" s="36"/>
      <c r="E241" s="36"/>
      <c r="F241" s="36"/>
      <c r="H241" s="36"/>
      <c r="I241" s="36"/>
      <c r="J241" s="36"/>
      <c r="K241" s="36"/>
      <c r="L241" s="36"/>
      <c r="M241" s="36"/>
      <c r="O241" s="8"/>
      <c r="P241" s="8"/>
    </row>
    <row r="242" spans="1:16" ht="12.75">
      <c r="A242" s="45" t="s">
        <v>53</v>
      </c>
      <c r="B242" s="20"/>
      <c r="C242" s="36">
        <f>SUM(C236:C241)/5</f>
        <v>356.898</v>
      </c>
      <c r="D242" s="36">
        <f>SUM(D236:D241)/5</f>
        <v>0</v>
      </c>
      <c r="E242" s="36">
        <f>SUM(E236:E241)/5</f>
        <v>356.898</v>
      </c>
      <c r="F242" s="36">
        <f>SUM(F236:F241)/5</f>
        <v>1378.321654080526</v>
      </c>
      <c r="H242" s="36"/>
      <c r="I242" s="36">
        <f>SUM(I236:I241)/5</f>
        <v>110.63499999999999</v>
      </c>
      <c r="J242" s="36">
        <f>SUM(J236:J241)/5</f>
        <v>124.69480000000001</v>
      </c>
      <c r="K242" s="36">
        <f>SUM(K236:K241)/5</f>
        <v>235.32980000000003</v>
      </c>
      <c r="L242" s="36">
        <f>SUM(L236:L241)/5</f>
        <v>10140.847012600108</v>
      </c>
      <c r="M242" s="36">
        <f>SUM(M236:M241)/5</f>
        <v>11519.168666680634</v>
      </c>
      <c r="O242" s="4">
        <f>F242/M242</f>
        <v>0.11965461171406769</v>
      </c>
      <c r="P242" s="4">
        <f>L242/M242</f>
        <v>0.8803453882859323</v>
      </c>
    </row>
    <row r="243" spans="1:16" ht="12.75">
      <c r="A243" s="45"/>
      <c r="B243" s="20"/>
      <c r="C243" s="36"/>
      <c r="D243" s="36"/>
      <c r="E243" s="36"/>
      <c r="F243" s="36"/>
      <c r="H243" s="36"/>
      <c r="I243" s="36"/>
      <c r="J243" s="36"/>
      <c r="K243" s="36"/>
      <c r="L243" s="36"/>
      <c r="M243" s="36"/>
      <c r="O243" s="8"/>
      <c r="P243" s="8"/>
    </row>
    <row r="244" spans="1:16" ht="12.75">
      <c r="A244" s="45">
        <v>1381</v>
      </c>
      <c r="B244" s="20"/>
      <c r="C244" s="34">
        <v>326.153</v>
      </c>
      <c r="D244" s="34"/>
      <c r="E244" s="34">
        <f>C244+D244</f>
        <v>326.153</v>
      </c>
      <c r="F244" s="34">
        <f>3.86194838323702*E244</f>
        <v>1259.5860510379039</v>
      </c>
      <c r="H244" s="36"/>
      <c r="I244" s="34">
        <v>108.835</v>
      </c>
      <c r="J244" s="34">
        <v>78.384</v>
      </c>
      <c r="K244" s="34">
        <f>I244+J244</f>
        <v>187.219</v>
      </c>
      <c r="L244" s="34">
        <f>43.0920648919096*K244</f>
        <v>8067.653296998424</v>
      </c>
      <c r="M244" s="34">
        <f>F244+L244</f>
        <v>9327.239348036328</v>
      </c>
      <c r="O244" s="4">
        <f>F244/M244</f>
        <v>0.13504382208258497</v>
      </c>
      <c r="P244" s="4">
        <f>L244/M244</f>
        <v>0.864956177917415</v>
      </c>
    </row>
    <row r="245" spans="1:16" ht="12.75">
      <c r="A245" s="45">
        <v>1382</v>
      </c>
      <c r="B245" s="20"/>
      <c r="C245" s="34">
        <v>326.153</v>
      </c>
      <c r="D245" s="34"/>
      <c r="E245" s="34">
        <f>C245+D245</f>
        <v>326.153</v>
      </c>
      <c r="F245" s="34">
        <f>3.86194838323702*E245</f>
        <v>1259.5860510379039</v>
      </c>
      <c r="H245" s="36"/>
      <c r="I245" s="34">
        <v>108.835</v>
      </c>
      <c r="J245" s="34">
        <v>0.788</v>
      </c>
      <c r="K245" s="34">
        <f>I245+J245</f>
        <v>109.62299999999999</v>
      </c>
      <c r="L245" s="34">
        <f>43.0920648919096*K245</f>
        <v>4723.881429645806</v>
      </c>
      <c r="M245" s="34">
        <f>F245+L245</f>
        <v>5983.46748068371</v>
      </c>
      <c r="O245" s="4">
        <f>F245/M245</f>
        <v>0.21051105485309252</v>
      </c>
      <c r="P245" s="4">
        <f>L245/M245</f>
        <v>0.7894889451469074</v>
      </c>
    </row>
    <row r="246" spans="1:16" ht="12.75">
      <c r="A246" s="45">
        <v>1383</v>
      </c>
      <c r="B246" s="20"/>
      <c r="C246" s="34">
        <v>326.153</v>
      </c>
      <c r="D246" s="34"/>
      <c r="E246" s="34">
        <f>C246+D246</f>
        <v>326.153</v>
      </c>
      <c r="F246" s="34">
        <f>3.86194838323702*E246</f>
        <v>1259.5860510379039</v>
      </c>
      <c r="H246" s="36"/>
      <c r="I246" s="34">
        <v>108.835</v>
      </c>
      <c r="J246" s="34">
        <v>0.788</v>
      </c>
      <c r="K246" s="34">
        <f>I246+J246</f>
        <v>109.62299999999999</v>
      </c>
      <c r="L246" s="34">
        <f>43.0920648919096*K246</f>
        <v>4723.881429645806</v>
      </c>
      <c r="M246" s="34">
        <f>F246+L246</f>
        <v>5983.46748068371</v>
      </c>
      <c r="O246" s="4">
        <f>F246/M246</f>
        <v>0.21051105485309252</v>
      </c>
      <c r="P246" s="4">
        <f>L246/M246</f>
        <v>0.7894889451469074</v>
      </c>
    </row>
    <row r="247" spans="1:16" ht="12.75">
      <c r="A247" s="45">
        <v>1384</v>
      </c>
      <c r="B247" s="20"/>
      <c r="C247" s="34">
        <v>326.153</v>
      </c>
      <c r="D247" s="34"/>
      <c r="E247" s="34">
        <f>C247+D247</f>
        <v>326.153</v>
      </c>
      <c r="F247" s="34">
        <f>3.86194838323702*E247</f>
        <v>1259.5860510379039</v>
      </c>
      <c r="H247" s="36"/>
      <c r="I247" s="34">
        <v>136.682</v>
      </c>
      <c r="J247" s="34">
        <v>0.213</v>
      </c>
      <c r="K247" s="34">
        <f>I247+J247</f>
        <v>136.89499999999998</v>
      </c>
      <c r="L247" s="34">
        <f>43.0920648919096*K247</f>
        <v>5899.088223377964</v>
      </c>
      <c r="M247" s="34">
        <f>F247+L247</f>
        <v>7158.674274415867</v>
      </c>
      <c r="O247" s="4">
        <f>F247/M247</f>
        <v>0.17595241838834516</v>
      </c>
      <c r="P247" s="4">
        <f>L247/M247</f>
        <v>0.8240475816116549</v>
      </c>
    </row>
    <row r="248" spans="1:16" ht="12.75">
      <c r="A248" s="45">
        <v>1385</v>
      </c>
      <c r="B248" s="20"/>
      <c r="C248" s="34">
        <v>282.448</v>
      </c>
      <c r="D248" s="34"/>
      <c r="E248" s="34">
        <f>C248+D248</f>
        <v>282.448</v>
      </c>
      <c r="F248" s="34">
        <f>3.86194838323702*E248</f>
        <v>1090.7995969485296</v>
      </c>
      <c r="H248" s="36"/>
      <c r="I248" s="34">
        <v>265.815</v>
      </c>
      <c r="J248" s="34"/>
      <c r="K248" s="34">
        <f>I248+J248</f>
        <v>265.815</v>
      </c>
      <c r="L248" s="34">
        <f>43.0920648919096*K248</f>
        <v>11454.51722924295</v>
      </c>
      <c r="M248" s="34">
        <f>F248+L248</f>
        <v>12545.31682619148</v>
      </c>
      <c r="O248" s="4">
        <f>F248/M248</f>
        <v>0.08694874845019564</v>
      </c>
      <c r="P248" s="4">
        <f>L248/M248</f>
        <v>0.9130512515498044</v>
      </c>
    </row>
    <row r="249" spans="1:16" ht="12.75">
      <c r="A249" s="45"/>
      <c r="B249" s="20"/>
      <c r="C249" s="36"/>
      <c r="D249" s="36"/>
      <c r="E249" s="36"/>
      <c r="F249" s="36"/>
      <c r="H249" s="36"/>
      <c r="I249" s="36"/>
      <c r="J249" s="36"/>
      <c r="K249" s="36"/>
      <c r="L249" s="36"/>
      <c r="M249" s="36"/>
      <c r="O249" s="8"/>
      <c r="P249" s="8"/>
    </row>
    <row r="250" spans="1:16" ht="12.75">
      <c r="A250" s="45" t="s">
        <v>54</v>
      </c>
      <c r="B250" s="20"/>
      <c r="C250" s="36">
        <f>SUM(C244:C249)/5</f>
        <v>317.412</v>
      </c>
      <c r="D250" s="36">
        <f>SUM(D244:D249)/5</f>
        <v>0</v>
      </c>
      <c r="E250" s="36">
        <f>SUM(E244:E249)/5</f>
        <v>317.412</v>
      </c>
      <c r="F250" s="36">
        <f>SUM(F244:F249)/5</f>
        <v>1225.828760220029</v>
      </c>
      <c r="H250" s="36"/>
      <c r="I250" s="36">
        <f>SUM(I244:I249)/5</f>
        <v>145.8004</v>
      </c>
      <c r="J250" s="36">
        <f>SUM(J244:J249)/5</f>
        <v>16.034599999999998</v>
      </c>
      <c r="K250" s="36">
        <f>SUM(K244:K249)/5</f>
        <v>161.83499999999998</v>
      </c>
      <c r="L250" s="36">
        <f>SUM(L244:L249)/5</f>
        <v>6973.804321782189</v>
      </c>
      <c r="M250" s="36">
        <f>SUM(M244:M249)/5</f>
        <v>8199.633082002218</v>
      </c>
      <c r="O250" s="4">
        <f>F250/M250</f>
        <v>0.1494980016740824</v>
      </c>
      <c r="P250" s="4">
        <f>L250/M250</f>
        <v>0.8505019983259176</v>
      </c>
    </row>
    <row r="251" spans="1:16" ht="12.75">
      <c r="A251" s="45"/>
      <c r="B251" s="20"/>
      <c r="C251" s="36"/>
      <c r="D251" s="36"/>
      <c r="E251" s="36"/>
      <c r="F251" s="36"/>
      <c r="H251" s="36"/>
      <c r="I251" s="36"/>
      <c r="J251" s="36"/>
      <c r="K251" s="36"/>
      <c r="L251" s="36"/>
      <c r="M251" s="36"/>
      <c r="O251" s="8"/>
      <c r="P251" s="8"/>
    </row>
    <row r="252" spans="1:16" ht="12.75">
      <c r="A252" s="45">
        <v>1386</v>
      </c>
      <c r="B252" s="20"/>
      <c r="C252" s="34">
        <v>282.448</v>
      </c>
      <c r="D252" s="34"/>
      <c r="E252" s="34">
        <f>C252+D252</f>
        <v>282.448</v>
      </c>
      <c r="F252" s="34">
        <f>3.86194838323702*E252</f>
        <v>1090.7995969485296</v>
      </c>
      <c r="H252" s="36"/>
      <c r="I252" s="34">
        <v>265.815</v>
      </c>
      <c r="J252" s="34"/>
      <c r="K252" s="34">
        <f>I252+J252</f>
        <v>265.815</v>
      </c>
      <c r="L252" s="34">
        <f>43.0920648919096*K252</f>
        <v>11454.51722924295</v>
      </c>
      <c r="M252" s="34">
        <f>F252+L252</f>
        <v>12545.31682619148</v>
      </c>
      <c r="O252" s="4">
        <f>F252/M252</f>
        <v>0.08694874845019564</v>
      </c>
      <c r="P252" s="4">
        <f>L252/M252</f>
        <v>0.9130512515498044</v>
      </c>
    </row>
    <row r="253" spans="1:16" ht="12.75">
      <c r="A253" s="45">
        <v>1387</v>
      </c>
      <c r="B253" s="20"/>
      <c r="C253" s="34">
        <v>282.448</v>
      </c>
      <c r="D253" s="34"/>
      <c r="E253" s="34">
        <f>C253+D253</f>
        <v>282.448</v>
      </c>
      <c r="F253" s="34">
        <f>3.86194838323702*E253</f>
        <v>1090.7995969485296</v>
      </c>
      <c r="H253" s="36"/>
      <c r="I253" s="34">
        <v>265.815</v>
      </c>
      <c r="J253" s="34">
        <v>177.229</v>
      </c>
      <c r="K253" s="34">
        <f>I253+J253</f>
        <v>443.044</v>
      </c>
      <c r="L253" s="34">
        <f>43.0920648919096*K253</f>
        <v>19091.680797971196</v>
      </c>
      <c r="M253" s="34">
        <f>F253+L253</f>
        <v>20182.480394919727</v>
      </c>
      <c r="O253" s="4">
        <f>F253/M253</f>
        <v>0.05404685527270981</v>
      </c>
      <c r="P253" s="4">
        <f>L253/M253</f>
        <v>0.9459531447272901</v>
      </c>
    </row>
    <row r="254" spans="1:16" ht="12.75">
      <c r="A254" s="45">
        <v>1388</v>
      </c>
      <c r="B254" s="20"/>
      <c r="C254" s="34">
        <v>37.785</v>
      </c>
      <c r="D254" s="34"/>
      <c r="E254" s="34">
        <f>C254+D254</f>
        <v>37.785</v>
      </c>
      <c r="F254" s="34">
        <f>3.86194838323702*E254</f>
        <v>145.92371966061077</v>
      </c>
      <c r="H254" s="36"/>
      <c r="I254" s="34">
        <v>261.492</v>
      </c>
      <c r="J254" s="34">
        <v>251.686</v>
      </c>
      <c r="K254" s="34">
        <f>I254+J254</f>
        <v>513.178</v>
      </c>
      <c r="L254" s="34">
        <f>43.0920648919096*K254</f>
        <v>22113.899677100384</v>
      </c>
      <c r="M254" s="34">
        <f>F254+L254</f>
        <v>22259.823396760996</v>
      </c>
      <c r="O254" s="4">
        <f>F254/M254</f>
        <v>0.0065554751742479675</v>
      </c>
      <c r="P254" s="4">
        <f>L254/M254</f>
        <v>0.993444524825752</v>
      </c>
    </row>
    <row r="255" spans="1:16" ht="12.75">
      <c r="A255" s="45">
        <v>1389</v>
      </c>
      <c r="B255" s="20"/>
      <c r="C255" s="34">
        <v>53.982</v>
      </c>
      <c r="D255" s="34"/>
      <c r="E255" s="34">
        <f>C255+D255</f>
        <v>53.982</v>
      </c>
      <c r="F255" s="34">
        <f>3.86194838323702*E255</f>
        <v>208.4756976239008</v>
      </c>
      <c r="H255" s="36"/>
      <c r="I255" s="34">
        <v>373.56</v>
      </c>
      <c r="J255" s="34">
        <v>251.686</v>
      </c>
      <c r="K255" s="34">
        <f>I255+J255</f>
        <v>625.246</v>
      </c>
      <c r="L255" s="34">
        <f>43.0920648919096*K255</f>
        <v>26943.141205406908</v>
      </c>
      <c r="M255" s="34">
        <f>F255+L255</f>
        <v>27151.61690303081</v>
      </c>
      <c r="O255" s="4">
        <f>F255/M255</f>
        <v>0.007678205624676062</v>
      </c>
      <c r="P255" s="4">
        <f>L255/M255</f>
        <v>0.992321794375324</v>
      </c>
    </row>
    <row r="256" spans="1:16" ht="12.75">
      <c r="A256" s="45">
        <v>1390</v>
      </c>
      <c r="B256" s="20"/>
      <c r="C256" s="34">
        <v>580.908</v>
      </c>
      <c r="D256" s="34"/>
      <c r="E256" s="34">
        <f>C256+D256</f>
        <v>580.908</v>
      </c>
      <c r="F256" s="34">
        <f>3.86194838323702*E256</f>
        <v>2243.4367114094507</v>
      </c>
      <c r="H256" s="36"/>
      <c r="I256" s="34">
        <v>566.264</v>
      </c>
      <c r="J256" s="34">
        <v>110.506</v>
      </c>
      <c r="K256" s="34">
        <f>I256+J256</f>
        <v>676.77</v>
      </c>
      <c r="L256" s="34">
        <f>43.0920648919096*K256</f>
        <v>29163.41675689766</v>
      </c>
      <c r="M256" s="34">
        <f>F256+L256</f>
        <v>31406.85346830711</v>
      </c>
      <c r="O256" s="4">
        <f>F256/M256</f>
        <v>0.07143143816279843</v>
      </c>
      <c r="P256" s="4">
        <f>L256/M256</f>
        <v>0.9285685618372016</v>
      </c>
    </row>
    <row r="257" spans="1:16" ht="12.75">
      <c r="A257" s="45"/>
      <c r="B257" s="20"/>
      <c r="C257" s="36"/>
      <c r="D257" s="36"/>
      <c r="E257" s="36"/>
      <c r="F257" s="36"/>
      <c r="H257" s="36"/>
      <c r="I257" s="36"/>
      <c r="J257" s="36"/>
      <c r="K257" s="36"/>
      <c r="L257" s="36"/>
      <c r="M257" s="36"/>
      <c r="O257" s="8"/>
      <c r="P257" s="8"/>
    </row>
    <row r="258" spans="1:16" ht="12.75">
      <c r="A258" s="45" t="s">
        <v>55</v>
      </c>
      <c r="B258" s="20"/>
      <c r="C258" s="36">
        <f>SUM(C252:C257)/5</f>
        <v>247.5142</v>
      </c>
      <c r="D258" s="36">
        <f>SUM(D252:D257)/5</f>
        <v>0</v>
      </c>
      <c r="E258" s="36">
        <f>SUM(E252:E257)/5</f>
        <v>247.5142</v>
      </c>
      <c r="F258" s="36">
        <f>SUM(F252:F257)/5</f>
        <v>955.8870645182044</v>
      </c>
      <c r="H258" s="36"/>
      <c r="I258" s="36">
        <f>SUM(I252:I257)/5</f>
        <v>346.5892</v>
      </c>
      <c r="J258" s="36">
        <f>SUM(J252:J257)/5</f>
        <v>158.2214</v>
      </c>
      <c r="K258" s="36">
        <f>SUM(K252:K257)/5</f>
        <v>504.81059999999997</v>
      </c>
      <c r="L258" s="36">
        <f>SUM(L252:L257)/5</f>
        <v>21753.331133323816</v>
      </c>
      <c r="M258" s="36">
        <f>SUM(M252:M257)/5</f>
        <v>22709.218197842023</v>
      </c>
      <c r="O258" s="4">
        <f>F258/M258</f>
        <v>0.04209246906655021</v>
      </c>
      <c r="P258" s="4">
        <f>L258/M258</f>
        <v>0.9579075309334497</v>
      </c>
    </row>
    <row r="259" spans="1:16" ht="12.75">
      <c r="A259" s="45"/>
      <c r="B259" s="20"/>
      <c r="C259" s="36"/>
      <c r="D259" s="36"/>
      <c r="E259" s="36"/>
      <c r="F259" s="36"/>
      <c r="H259" s="36"/>
      <c r="I259" s="36"/>
      <c r="J259" s="36"/>
      <c r="K259" s="36"/>
      <c r="L259" s="36"/>
      <c r="M259" s="36"/>
      <c r="O259" s="8"/>
      <c r="P259" s="8"/>
    </row>
    <row r="260" spans="1:16" ht="12.75">
      <c r="A260" s="45">
        <v>1391</v>
      </c>
      <c r="B260" s="20"/>
      <c r="C260" s="34">
        <v>708.354</v>
      </c>
      <c r="D260" s="34"/>
      <c r="E260" s="34">
        <f>C260+D260</f>
        <v>708.354</v>
      </c>
      <c r="F260" s="34">
        <f>3.86194838323702*E260</f>
        <v>2735.626585059476</v>
      </c>
      <c r="H260" s="36"/>
      <c r="I260" s="34">
        <v>534.443</v>
      </c>
      <c r="J260" s="34">
        <v>51.194</v>
      </c>
      <c r="K260" s="34">
        <f>I260+J260</f>
        <v>585.637</v>
      </c>
      <c r="L260" s="34">
        <f>43.0920648919096*K260</f>
        <v>25236.30760710326</v>
      </c>
      <c r="M260" s="34">
        <f>F260+L260</f>
        <v>27971.934192162735</v>
      </c>
      <c r="O260" s="4">
        <f>F260/M260</f>
        <v>0.0977989782996827</v>
      </c>
      <c r="P260" s="4">
        <f>L260/M260</f>
        <v>0.9022010217003174</v>
      </c>
    </row>
    <row r="261" spans="1:16" ht="12.75">
      <c r="A261" s="45">
        <v>1392</v>
      </c>
      <c r="B261" s="20"/>
      <c r="C261" s="34">
        <v>89.132</v>
      </c>
      <c r="D261" s="34"/>
      <c r="E261" s="34">
        <f>C261+D261</f>
        <v>89.132</v>
      </c>
      <c r="F261" s="34">
        <f>3.86194838323702*E261</f>
        <v>344.2231832946821</v>
      </c>
      <c r="H261" s="36"/>
      <c r="I261" s="34">
        <v>495.022</v>
      </c>
      <c r="J261" s="34">
        <v>51.194</v>
      </c>
      <c r="K261" s="34">
        <f>I261+J261</f>
        <v>546.216</v>
      </c>
      <c r="L261" s="34">
        <f>43.0920648919096*K261</f>
        <v>23537.575316999297</v>
      </c>
      <c r="M261" s="34">
        <f>F261+L261</f>
        <v>23881.79850029398</v>
      </c>
      <c r="O261" s="4">
        <f>F261/M261</f>
        <v>0.014413620619504214</v>
      </c>
      <c r="P261" s="4">
        <f>L261/M261</f>
        <v>0.9855863793804958</v>
      </c>
    </row>
    <row r="262" spans="1:16" ht="12.75">
      <c r="A262" s="45">
        <v>1393</v>
      </c>
      <c r="B262" s="20"/>
      <c r="C262" s="34">
        <v>74.651</v>
      </c>
      <c r="D262" s="34"/>
      <c r="E262" s="34">
        <f>C262+D262</f>
        <v>74.651</v>
      </c>
      <c r="F262" s="34">
        <f>3.86194838323702*E262</f>
        <v>288.29830875702675</v>
      </c>
      <c r="H262" s="36"/>
      <c r="I262" s="34">
        <v>397.405</v>
      </c>
      <c r="J262" s="34">
        <v>377.653</v>
      </c>
      <c r="K262" s="34">
        <f>I262+J262</f>
        <v>775.058</v>
      </c>
      <c r="L262" s="34">
        <f>43.0920648919096*K262</f>
        <v>33398.849630993675</v>
      </c>
      <c r="M262" s="34">
        <f>F262+L262</f>
        <v>33687.1479397507</v>
      </c>
      <c r="O262" s="4">
        <f>F262/M262</f>
        <v>0.00855810973587455</v>
      </c>
      <c r="P262" s="4">
        <f>L262/M262</f>
        <v>0.9914418902641255</v>
      </c>
    </row>
    <row r="263" spans="1:16" ht="12.75">
      <c r="A263" s="45">
        <v>1394</v>
      </c>
      <c r="B263" s="20"/>
      <c r="C263" s="34">
        <v>47.654</v>
      </c>
      <c r="D263" s="34"/>
      <c r="E263" s="34">
        <f>C263+D263</f>
        <v>47.654</v>
      </c>
      <c r="F263" s="34">
        <f>3.86194838323702*E263</f>
        <v>184.03728825477697</v>
      </c>
      <c r="H263" s="36"/>
      <c r="I263" s="34">
        <v>314.53</v>
      </c>
      <c r="J263" s="34">
        <v>336.062</v>
      </c>
      <c r="K263" s="34">
        <f>I263+J263</f>
        <v>650.592</v>
      </c>
      <c r="L263" s="34">
        <f>43.0920648919096*K263</f>
        <v>28035.352682157252</v>
      </c>
      <c r="M263" s="34">
        <f>F263+L263</f>
        <v>28219.38997041203</v>
      </c>
      <c r="O263" s="4">
        <f>F263/M263</f>
        <v>0.006521660760482054</v>
      </c>
      <c r="P263" s="4">
        <f>L263/M263</f>
        <v>0.9934783392395179</v>
      </c>
    </row>
    <row r="264" spans="1:16" ht="12.75">
      <c r="A264" s="45">
        <v>1395</v>
      </c>
      <c r="B264" s="20"/>
      <c r="C264" s="34">
        <v>47.654</v>
      </c>
      <c r="D264" s="34"/>
      <c r="E264" s="34">
        <f>C264+D264</f>
        <v>47.654</v>
      </c>
      <c r="F264" s="34">
        <f>3.86194838323702*E264</f>
        <v>184.03728825477697</v>
      </c>
      <c r="H264" s="36"/>
      <c r="I264" s="34">
        <v>314.53</v>
      </c>
      <c r="J264" s="34">
        <v>260.696</v>
      </c>
      <c r="K264" s="34">
        <f>I264+J264</f>
        <v>575.226</v>
      </c>
      <c r="L264" s="34">
        <f>43.0920648919096*K264</f>
        <v>24787.67611951359</v>
      </c>
      <c r="M264" s="34">
        <f>F264+L264</f>
        <v>24971.71340776837</v>
      </c>
      <c r="O264" s="4">
        <f>F264/M264</f>
        <v>0.007369830225487267</v>
      </c>
      <c r="P264" s="4">
        <f>L264/M264</f>
        <v>0.9926301697745127</v>
      </c>
    </row>
    <row r="265" spans="1:16" ht="12.75">
      <c r="A265" s="45"/>
      <c r="B265" s="20"/>
      <c r="C265" s="36"/>
      <c r="D265" s="36"/>
      <c r="E265" s="36"/>
      <c r="F265" s="36"/>
      <c r="H265" s="36"/>
      <c r="I265" s="36"/>
      <c r="J265" s="36"/>
      <c r="K265" s="36"/>
      <c r="L265" s="36"/>
      <c r="M265" s="36"/>
      <c r="O265" s="8"/>
      <c r="P265" s="8"/>
    </row>
    <row r="266" spans="1:16" ht="12.75">
      <c r="A266" s="45" t="s">
        <v>56</v>
      </c>
      <c r="B266" s="20"/>
      <c r="C266" s="36">
        <f>SUM(C260:C265)/5</f>
        <v>193.489</v>
      </c>
      <c r="D266" s="36">
        <f>SUM(D260:D265)/5</f>
        <v>0</v>
      </c>
      <c r="E266" s="36">
        <f>SUM(E260:E265)/5</f>
        <v>193.489</v>
      </c>
      <c r="F266" s="36">
        <f>SUM(F260:F265)/5</f>
        <v>747.2445307241478</v>
      </c>
      <c r="H266" s="36"/>
      <c r="I266" s="36">
        <f>SUM(I260:I265)/5</f>
        <v>411.186</v>
      </c>
      <c r="J266" s="36">
        <f>SUM(J260:J265)/5</f>
        <v>215.3598</v>
      </c>
      <c r="K266" s="36">
        <f>SUM(K260:K265)/5</f>
        <v>626.5458000000001</v>
      </c>
      <c r="L266" s="36">
        <f>SUM(L260:L265)/5</f>
        <v>26999.152271353418</v>
      </c>
      <c r="M266" s="36">
        <f>SUM(M260:M265)/5</f>
        <v>27746.396802077557</v>
      </c>
      <c r="O266" s="4">
        <f>F266/M266</f>
        <v>0.02693122772136657</v>
      </c>
      <c r="P266" s="4">
        <f>L266/M266</f>
        <v>0.9730687722786338</v>
      </c>
    </row>
    <row r="267" spans="1:16" ht="12.75">
      <c r="A267" s="45"/>
      <c r="B267" s="20"/>
      <c r="C267" s="36"/>
      <c r="D267" s="36"/>
      <c r="E267" s="36"/>
      <c r="F267" s="36"/>
      <c r="H267" s="36"/>
      <c r="I267" s="36"/>
      <c r="J267" s="36"/>
      <c r="K267" s="36"/>
      <c r="L267" s="36"/>
      <c r="M267" s="36"/>
      <c r="O267" s="8"/>
      <c r="P267" s="8"/>
    </row>
    <row r="268" spans="1:16" ht="12.75">
      <c r="A268" s="45">
        <v>1396</v>
      </c>
      <c r="B268" s="20"/>
      <c r="C268" s="34">
        <v>54.827</v>
      </c>
      <c r="D268" s="34"/>
      <c r="E268" s="34">
        <f>C268+D268</f>
        <v>54.827</v>
      </c>
      <c r="F268" s="34">
        <f>3.86194838323702*E268</f>
        <v>211.73904400773608</v>
      </c>
      <c r="H268" s="36"/>
      <c r="I268" s="34">
        <v>186.825</v>
      </c>
      <c r="J268" s="34">
        <v>128.921</v>
      </c>
      <c r="K268" s="34">
        <f>I268+J268</f>
        <v>315.746</v>
      </c>
      <c r="L268" s="34">
        <f>43.0920648919096*K268</f>
        <v>13606.147121360887</v>
      </c>
      <c r="M268" s="34">
        <f>F268+L268</f>
        <v>13817.886165368624</v>
      </c>
      <c r="O268" s="4">
        <f>F268/M268</f>
        <v>0.015323548151555311</v>
      </c>
      <c r="P268" s="4">
        <f>L268/M268</f>
        <v>0.9846764518484447</v>
      </c>
    </row>
    <row r="269" spans="1:16" ht="12.75">
      <c r="A269" s="45">
        <v>1397</v>
      </c>
      <c r="B269" s="20"/>
      <c r="C269" s="34">
        <v>190.153</v>
      </c>
      <c r="D269" s="34"/>
      <c r="E269" s="34">
        <f>C269+D269</f>
        <v>190.153</v>
      </c>
      <c r="F269" s="34">
        <f>3.86194838323702*E269</f>
        <v>734.361070917669</v>
      </c>
      <c r="H269" s="36"/>
      <c r="I269" s="34">
        <v>398.578</v>
      </c>
      <c r="J269" s="34">
        <v>122.578</v>
      </c>
      <c r="K269" s="34">
        <f>I269+J269</f>
        <v>521.156</v>
      </c>
      <c r="L269" s="34">
        <f>43.0920648919096*K269</f>
        <v>22457.688170808036</v>
      </c>
      <c r="M269" s="34">
        <f>F269+L269</f>
        <v>23192.049241725705</v>
      </c>
      <c r="O269" s="4">
        <f>F269/M269</f>
        <v>0.03166434596889575</v>
      </c>
      <c r="P269" s="4">
        <f>L269/M269</f>
        <v>0.9683356540311043</v>
      </c>
    </row>
    <row r="270" spans="1:16" ht="12.75">
      <c r="A270" s="45">
        <v>1398</v>
      </c>
      <c r="B270" s="20"/>
      <c r="C270" s="34">
        <v>190.153</v>
      </c>
      <c r="D270" s="34"/>
      <c r="E270" s="34">
        <f>C270+D270</f>
        <v>190.153</v>
      </c>
      <c r="F270" s="34">
        <f>3.86194838323702*E270</f>
        <v>734.361070917669</v>
      </c>
      <c r="H270" s="36"/>
      <c r="I270" s="34">
        <v>398.578</v>
      </c>
      <c r="J270" s="34">
        <v>9.95</v>
      </c>
      <c r="K270" s="34">
        <f>I270+J270</f>
        <v>408.52799999999996</v>
      </c>
      <c r="L270" s="34">
        <f>43.0920648919096*K270</f>
        <v>17604.315086162045</v>
      </c>
      <c r="M270" s="34">
        <f>F270+L270</f>
        <v>18338.676157079713</v>
      </c>
      <c r="O270" s="4">
        <f>F270/M270</f>
        <v>0.040044388407729545</v>
      </c>
      <c r="P270" s="4">
        <f>L270/M270</f>
        <v>0.9599556115922705</v>
      </c>
    </row>
    <row r="271" spans="1:16" ht="12.75">
      <c r="A271" s="45">
        <v>1399</v>
      </c>
      <c r="B271" s="20"/>
      <c r="C271" s="34">
        <v>355.954</v>
      </c>
      <c r="D271" s="34"/>
      <c r="E271" s="34">
        <f>C271+D271</f>
        <v>355.954</v>
      </c>
      <c r="F271" s="34">
        <f>3.86194838323702*E271</f>
        <v>1374.6759748067502</v>
      </c>
      <c r="H271" s="36"/>
      <c r="I271" s="34">
        <v>370.61</v>
      </c>
      <c r="J271" s="34">
        <v>18.061</v>
      </c>
      <c r="K271" s="34">
        <f>I271+J271</f>
        <v>388.671</v>
      </c>
      <c r="L271" s="34">
        <f>43.0920648919096*K271</f>
        <v>16748.635953603396</v>
      </c>
      <c r="M271" s="34">
        <f>F271+L271</f>
        <v>18123.311928410145</v>
      </c>
      <c r="O271" s="4">
        <f>F271/M271</f>
        <v>0.07585125611902122</v>
      </c>
      <c r="P271" s="4">
        <f>L271/M271</f>
        <v>0.9241487438809789</v>
      </c>
    </row>
    <row r="272" spans="1:16" ht="12.75">
      <c r="A272" s="45">
        <v>1400</v>
      </c>
      <c r="B272" s="20"/>
      <c r="C272" s="34">
        <v>86.893</v>
      </c>
      <c r="D272" s="34"/>
      <c r="E272" s="34">
        <f>C272+D272</f>
        <v>86.893</v>
      </c>
      <c r="F272" s="34">
        <f>3.86194838323702*E272</f>
        <v>335.5762808646144</v>
      </c>
      <c r="H272" s="36"/>
      <c r="I272" s="34">
        <v>180.717</v>
      </c>
      <c r="J272" s="34">
        <v>140.895</v>
      </c>
      <c r="K272" s="34">
        <f>I272+J272</f>
        <v>321.612</v>
      </c>
      <c r="L272" s="34">
        <f>43.0920648919096*K272</f>
        <v>13858.925174016831</v>
      </c>
      <c r="M272" s="34">
        <f>F272+L272</f>
        <v>14194.501454881445</v>
      </c>
      <c r="O272" s="4">
        <f>F272/M272</f>
        <v>0.023641286869515995</v>
      </c>
      <c r="P272" s="4">
        <f>L272/M272</f>
        <v>0.9763587131304841</v>
      </c>
    </row>
    <row r="273" spans="1:16" ht="12.75">
      <c r="A273" s="45"/>
      <c r="B273" s="20"/>
      <c r="C273" s="36"/>
      <c r="D273" s="36"/>
      <c r="E273" s="36"/>
      <c r="F273" s="36"/>
      <c r="H273" s="36"/>
      <c r="I273" s="36"/>
      <c r="J273" s="36"/>
      <c r="K273" s="36"/>
      <c r="L273" s="36"/>
      <c r="M273" s="36"/>
      <c r="O273" s="8"/>
      <c r="P273" s="8"/>
    </row>
    <row r="274" spans="1:16" ht="12.75">
      <c r="A274" s="45" t="s">
        <v>57</v>
      </c>
      <c r="B274" s="20"/>
      <c r="C274" s="36">
        <f>SUM(C268:C273)/5</f>
        <v>175.596</v>
      </c>
      <c r="D274" s="36">
        <f>SUM(D268:D273)/5</f>
        <v>0</v>
      </c>
      <c r="E274" s="36">
        <f>SUM(E268:E273)/5</f>
        <v>175.596</v>
      </c>
      <c r="F274" s="36">
        <f>SUM(F268:F273)/5</f>
        <v>678.1426883028878</v>
      </c>
      <c r="H274" s="36"/>
      <c r="I274" s="36">
        <f>SUM(I268:I273)/5</f>
        <v>307.0616</v>
      </c>
      <c r="J274" s="36">
        <f>SUM(J268:J273)/5</f>
        <v>84.08099999999999</v>
      </c>
      <c r="K274" s="36">
        <f>SUM(K268:K273)/5</f>
        <v>391.1426</v>
      </c>
      <c r="L274" s="36">
        <f>SUM(L268:L273)/5</f>
        <v>16855.142301190237</v>
      </c>
      <c r="M274" s="36">
        <f>SUM(M268:M273)/5</f>
        <v>17533.284989493128</v>
      </c>
      <c r="O274" s="4">
        <f>F274/M274</f>
        <v>0.038677446280561044</v>
      </c>
      <c r="P274" s="4">
        <f>L274/M274</f>
        <v>0.9613225537194388</v>
      </c>
    </row>
    <row r="275" spans="1:16" ht="12.75">
      <c r="A275" s="45"/>
      <c r="B275" s="20"/>
      <c r="C275" s="36"/>
      <c r="D275" s="36"/>
      <c r="E275" s="36"/>
      <c r="F275" s="36"/>
      <c r="H275" s="36"/>
      <c r="I275" s="36"/>
      <c r="J275" s="36"/>
      <c r="K275" s="36"/>
      <c r="L275" s="36"/>
      <c r="M275" s="36"/>
      <c r="O275" s="8"/>
      <c r="P275" s="8"/>
    </row>
    <row r="276" spans="1:16" ht="12.75">
      <c r="A276" s="45">
        <v>1401</v>
      </c>
      <c r="B276" s="20"/>
      <c r="C276" s="34">
        <v>75.195</v>
      </c>
      <c r="D276" s="34"/>
      <c r="E276" s="34">
        <f>C276+D276</f>
        <v>75.195</v>
      </c>
      <c r="F276" s="34">
        <f>3.86194838323702*E276</f>
        <v>290.39920867750766</v>
      </c>
      <c r="H276" s="36"/>
      <c r="I276" s="34">
        <v>172.461</v>
      </c>
      <c r="J276" s="34">
        <v>140.895</v>
      </c>
      <c r="K276" s="34">
        <f>I276+J276</f>
        <v>313.356</v>
      </c>
      <c r="L276" s="34">
        <f>43.0920648919096*K276</f>
        <v>13503.157086269224</v>
      </c>
      <c r="M276" s="34">
        <f>F276+L276</f>
        <v>13793.556294946731</v>
      </c>
      <c r="O276" s="4">
        <f>F276/M276</f>
        <v>0.02105325142174505</v>
      </c>
      <c r="P276" s="4">
        <f>L276/M276</f>
        <v>0.978946748578255</v>
      </c>
    </row>
    <row r="277" spans="1:16" ht="12.75">
      <c r="A277" s="45">
        <v>1402</v>
      </c>
      <c r="B277" s="20"/>
      <c r="C277" s="34">
        <v>75.195</v>
      </c>
      <c r="D277" s="34"/>
      <c r="E277" s="34">
        <f>C277+D277</f>
        <v>75.195</v>
      </c>
      <c r="F277" s="34">
        <f>3.86194838323702*E277</f>
        <v>290.39920867750766</v>
      </c>
      <c r="H277" s="36"/>
      <c r="I277" s="34">
        <v>172.461</v>
      </c>
      <c r="J277" s="34">
        <v>40.188</v>
      </c>
      <c r="K277" s="34">
        <f>I277+J277</f>
        <v>212.649</v>
      </c>
      <c r="L277" s="34">
        <f>43.0920648919096*K277</f>
        <v>9163.484507199684</v>
      </c>
      <c r="M277" s="34">
        <f>F277+L277</f>
        <v>9453.883715877191</v>
      </c>
      <c r="O277" s="4">
        <f>F277/M277</f>
        <v>0.03071745088103853</v>
      </c>
      <c r="P277" s="4">
        <f>L277/M277</f>
        <v>0.9692825491189615</v>
      </c>
    </row>
    <row r="278" spans="1:16" ht="12.75">
      <c r="A278" s="45">
        <v>1403</v>
      </c>
      <c r="B278" s="20"/>
      <c r="C278" s="34">
        <v>41.802</v>
      </c>
      <c r="D278" s="34"/>
      <c r="E278" s="34">
        <f>C278+D278</f>
        <v>41.802</v>
      </c>
      <c r="F278" s="34">
        <f>3.86194838323702*E278</f>
        <v>161.4371663160739</v>
      </c>
      <c r="H278" s="36"/>
      <c r="I278" s="34">
        <v>103.955</v>
      </c>
      <c r="J278" s="34">
        <v>23.592</v>
      </c>
      <c r="K278" s="34">
        <f>I278+J278</f>
        <v>127.547</v>
      </c>
      <c r="L278" s="34">
        <f>43.0920648919096*K278</f>
        <v>5496.263600768394</v>
      </c>
      <c r="M278" s="34">
        <f>F278+L278</f>
        <v>5657.700767084468</v>
      </c>
      <c r="O278" s="4">
        <f>F278/M278</f>
        <v>0.028534058792095834</v>
      </c>
      <c r="P278" s="4">
        <f>L278/M278</f>
        <v>0.9714659412079042</v>
      </c>
    </row>
    <row r="279" spans="1:16" ht="12.75">
      <c r="A279" s="45">
        <v>1404</v>
      </c>
      <c r="B279" s="20"/>
      <c r="C279" s="34">
        <v>117.004</v>
      </c>
      <c r="D279" s="34"/>
      <c r="E279" s="34">
        <f>C279+D279</f>
        <v>117.004</v>
      </c>
      <c r="F279" s="34">
        <f>3.86194838323702*E279</f>
        <v>451.8634086322643</v>
      </c>
      <c r="H279" s="36"/>
      <c r="I279" s="34">
        <v>109.247</v>
      </c>
      <c r="J279" s="34">
        <v>3.497</v>
      </c>
      <c r="K279" s="34">
        <f>I279+J279</f>
        <v>112.744</v>
      </c>
      <c r="L279" s="34">
        <f>43.0920648919096*K279</f>
        <v>4858.371764173456</v>
      </c>
      <c r="M279" s="34">
        <f>F279+L279</f>
        <v>5310.23517280572</v>
      </c>
      <c r="O279" s="4">
        <f>F279/M279</f>
        <v>0.08509291847304709</v>
      </c>
      <c r="P279" s="4">
        <f>L279/M279</f>
        <v>0.9149070815269529</v>
      </c>
    </row>
    <row r="280" spans="1:16" ht="12.75">
      <c r="A280" s="45">
        <v>1405</v>
      </c>
      <c r="B280" s="20"/>
      <c r="C280" s="34">
        <v>22.522</v>
      </c>
      <c r="D280" s="34"/>
      <c r="E280" s="34">
        <f>C280+D280</f>
        <v>22.522</v>
      </c>
      <c r="F280" s="34">
        <f>3.86194838323702*E280</f>
        <v>86.97880148726415</v>
      </c>
      <c r="H280" s="36"/>
      <c r="I280" s="34">
        <v>77.06</v>
      </c>
      <c r="J280" s="34"/>
      <c r="K280" s="34">
        <f>I280+J280</f>
        <v>77.06</v>
      </c>
      <c r="L280" s="34">
        <f>43.0920648919096*K280</f>
        <v>3320.674520570554</v>
      </c>
      <c r="M280" s="34">
        <f>F280+L280</f>
        <v>3407.653322057818</v>
      </c>
      <c r="O280" s="4">
        <f>F280/M280</f>
        <v>0.02552454527115431</v>
      </c>
      <c r="P280" s="4">
        <f>L280/M280</f>
        <v>0.9744754547288457</v>
      </c>
    </row>
    <row r="281" spans="1:16" ht="12.75">
      <c r="A281" s="45"/>
      <c r="B281" s="20"/>
      <c r="C281" s="36"/>
      <c r="D281" s="36"/>
      <c r="E281" s="36"/>
      <c r="F281" s="36"/>
      <c r="H281" s="36"/>
      <c r="I281" s="36"/>
      <c r="J281" s="36"/>
      <c r="K281" s="36"/>
      <c r="L281" s="36"/>
      <c r="M281" s="36"/>
      <c r="O281" s="8"/>
      <c r="P281" s="8"/>
    </row>
    <row r="282" spans="1:16" ht="12.75">
      <c r="A282" s="45" t="s">
        <v>59</v>
      </c>
      <c r="B282" s="20"/>
      <c r="C282" s="36">
        <f>SUM(C276:C281)/5</f>
        <v>66.3436</v>
      </c>
      <c r="D282" s="36">
        <f>SUM(D276:D281)/5</f>
        <v>0</v>
      </c>
      <c r="E282" s="36">
        <f>SUM(E276:E281)/5</f>
        <v>66.3436</v>
      </c>
      <c r="F282" s="36">
        <f>SUM(F276:F281)/5</f>
        <v>256.21555875812356</v>
      </c>
      <c r="H282" s="36"/>
      <c r="I282" s="36">
        <f>SUM(I276:I281)/5</f>
        <v>127.0368</v>
      </c>
      <c r="J282" s="36">
        <f>SUM(J276:J281)/5</f>
        <v>41.63440000000001</v>
      </c>
      <c r="K282" s="36">
        <f>SUM(K276:K281)/5</f>
        <v>168.6712</v>
      </c>
      <c r="L282" s="36">
        <f>SUM(L276:L281)/5</f>
        <v>7268.390295796262</v>
      </c>
      <c r="M282" s="36">
        <f>SUM(M276:M281)/5</f>
        <v>7524.605854554386</v>
      </c>
      <c r="O282" s="4">
        <f>F282/M282</f>
        <v>0.034050362731364206</v>
      </c>
      <c r="P282" s="4">
        <f>L282/M282</f>
        <v>0.9659496372686358</v>
      </c>
    </row>
    <row r="283" spans="1:16" ht="12.75">
      <c r="A283" s="45"/>
      <c r="B283" s="20"/>
      <c r="C283" s="36"/>
      <c r="D283" s="36"/>
      <c r="E283" s="36"/>
      <c r="F283" s="36"/>
      <c r="H283" s="36"/>
      <c r="I283" s="36"/>
      <c r="J283" s="36"/>
      <c r="K283" s="36"/>
      <c r="L283" s="36"/>
      <c r="M283" s="36"/>
      <c r="O283" s="8"/>
      <c r="P283" s="8"/>
    </row>
    <row r="284" spans="1:16" ht="12.75">
      <c r="A284" s="45">
        <v>1406</v>
      </c>
      <c r="B284" s="20"/>
      <c r="C284" s="34">
        <v>26.258</v>
      </c>
      <c r="D284" s="34"/>
      <c r="E284" s="34">
        <f>C284+D284</f>
        <v>26.258</v>
      </c>
      <c r="F284" s="34">
        <f>3.86194838323702*E284</f>
        <v>101.40704064703766</v>
      </c>
      <c r="H284" s="36"/>
      <c r="I284" s="34">
        <v>125.488</v>
      </c>
      <c r="J284" s="34"/>
      <c r="K284" s="34">
        <f>I284+J284</f>
        <v>125.488</v>
      </c>
      <c r="L284" s="34">
        <f>43.0920648919096*K284</f>
        <v>5407.537039155952</v>
      </c>
      <c r="M284" s="34">
        <f>F284+L284</f>
        <v>5508.944079802989</v>
      </c>
      <c r="O284" s="4">
        <f>F284/M284</f>
        <v>0.01840770920489434</v>
      </c>
      <c r="P284" s="4">
        <f>L284/M284</f>
        <v>0.9815922907951057</v>
      </c>
    </row>
    <row r="285" spans="1:16" ht="12.75">
      <c r="A285" s="45">
        <v>1407</v>
      </c>
      <c r="B285" s="20"/>
      <c r="C285" s="34">
        <v>20.627</v>
      </c>
      <c r="D285" s="34"/>
      <c r="E285" s="34">
        <f>C285+D285</f>
        <v>20.627</v>
      </c>
      <c r="F285" s="34">
        <f>3.86194838323702*E285</f>
        <v>79.66040930103</v>
      </c>
      <c r="H285" s="36"/>
      <c r="I285" s="34">
        <v>69.184</v>
      </c>
      <c r="J285" s="34"/>
      <c r="K285" s="34">
        <f>I285+J285</f>
        <v>69.184</v>
      </c>
      <c r="L285" s="34">
        <f>43.0920648919096*K285</f>
        <v>2981.2814174818736</v>
      </c>
      <c r="M285" s="34">
        <f>F285+L285</f>
        <v>3060.9418267829037</v>
      </c>
      <c r="O285" s="4">
        <f>F285/M285</f>
        <v>0.026024803413122785</v>
      </c>
      <c r="P285" s="4">
        <f>L285/M285</f>
        <v>0.9739751965868771</v>
      </c>
    </row>
    <row r="286" spans="1:16" ht="12.75">
      <c r="A286" s="45">
        <v>1408</v>
      </c>
      <c r="B286" s="20"/>
      <c r="C286" s="34">
        <v>2.077</v>
      </c>
      <c r="D286" s="34"/>
      <c r="E286" s="34">
        <f>C286+D286</f>
        <v>2.077</v>
      </c>
      <c r="F286" s="34">
        <f>3.86194838323702*E286</f>
        <v>8.02126679198329</v>
      </c>
      <c r="H286" s="36"/>
      <c r="I286" s="34">
        <v>50.353</v>
      </c>
      <c r="J286" s="34"/>
      <c r="K286" s="34">
        <f>I286+J286</f>
        <v>50.353</v>
      </c>
      <c r="L286" s="34">
        <f>43.0920648919096*K286</f>
        <v>2169.8147435023243</v>
      </c>
      <c r="M286" s="34">
        <f>F286+L286</f>
        <v>2177.8360102943075</v>
      </c>
      <c r="O286" s="4">
        <f>F286/M286</f>
        <v>0.003683136266490201</v>
      </c>
      <c r="P286" s="4">
        <f>L286/M286</f>
        <v>0.9963168637335098</v>
      </c>
    </row>
    <row r="287" spans="1:16" ht="12.75">
      <c r="A287" s="45">
        <v>1409</v>
      </c>
      <c r="B287" s="20"/>
      <c r="C287" s="34">
        <v>2</v>
      </c>
      <c r="D287" s="34"/>
      <c r="E287" s="34">
        <f>C287+D287</f>
        <v>2</v>
      </c>
      <c r="F287" s="34">
        <f>3.86194838323702*E287</f>
        <v>7.72389676647404</v>
      </c>
      <c r="H287" s="36"/>
      <c r="I287" s="34">
        <v>50</v>
      </c>
      <c r="J287" s="34"/>
      <c r="K287" s="34">
        <f>I287+J287</f>
        <v>50</v>
      </c>
      <c r="L287" s="34">
        <f>43.0920648919096*K287</f>
        <v>2154.60324459548</v>
      </c>
      <c r="M287" s="34">
        <f>F287+L287</f>
        <v>2162.327141361954</v>
      </c>
      <c r="O287" s="4">
        <f>F287/M287</f>
        <v>0.0035720296983411583</v>
      </c>
      <c r="P287" s="4">
        <f>L287/M287</f>
        <v>0.9964279703016589</v>
      </c>
    </row>
    <row r="288" spans="1:16" ht="12.75">
      <c r="A288" s="45">
        <v>1410</v>
      </c>
      <c r="B288" s="20"/>
      <c r="C288" s="34">
        <v>2</v>
      </c>
      <c r="D288" s="34"/>
      <c r="E288" s="34">
        <f>C288+D288</f>
        <v>2</v>
      </c>
      <c r="F288" s="34">
        <f>3.86194838323702*E288</f>
        <v>7.72389676647404</v>
      </c>
      <c r="H288" s="36"/>
      <c r="I288" s="34">
        <v>50</v>
      </c>
      <c r="J288" s="34"/>
      <c r="K288" s="34">
        <f>I288+J288</f>
        <v>50</v>
      </c>
      <c r="L288" s="34">
        <f>43.0920648919096*K288</f>
        <v>2154.60324459548</v>
      </c>
      <c r="M288" s="34">
        <f>F288+L288</f>
        <v>2162.327141361954</v>
      </c>
      <c r="O288" s="4">
        <f>F288/M288</f>
        <v>0.0035720296983411583</v>
      </c>
      <c r="P288" s="4">
        <f>L288/M288</f>
        <v>0.9964279703016589</v>
      </c>
    </row>
    <row r="289" spans="1:16" ht="12.75">
      <c r="A289" s="45"/>
      <c r="B289" s="20"/>
      <c r="C289" s="36"/>
      <c r="D289" s="36"/>
      <c r="E289" s="36"/>
      <c r="F289" s="36"/>
      <c r="H289" s="36"/>
      <c r="I289" s="36"/>
      <c r="J289" s="36"/>
      <c r="K289" s="36"/>
      <c r="L289" s="36"/>
      <c r="M289" s="36"/>
      <c r="O289" s="8"/>
      <c r="P289" s="8"/>
    </row>
    <row r="290" spans="1:16" ht="12.75">
      <c r="A290" s="45" t="s">
        <v>60</v>
      </c>
      <c r="B290" s="20"/>
      <c r="C290" s="36">
        <f>SUM(C284:C289)/5</f>
        <v>10.5924</v>
      </c>
      <c r="D290" s="36">
        <f>SUM(D284:D289)/5</f>
        <v>0</v>
      </c>
      <c r="E290" s="36">
        <f>SUM(E284:E289)/5</f>
        <v>10.5924</v>
      </c>
      <c r="F290" s="36">
        <f>SUM(F284:F289)/5</f>
        <v>40.90730205459981</v>
      </c>
      <c r="H290" s="36"/>
      <c r="I290" s="36">
        <f>SUM(I284:I289)/5</f>
        <v>69.005</v>
      </c>
      <c r="J290" s="36">
        <f>SUM(J284:J289)/5</f>
        <v>0</v>
      </c>
      <c r="K290" s="36">
        <f>SUM(K284:K289)/5</f>
        <v>69.005</v>
      </c>
      <c r="L290" s="36">
        <f>SUM(L284:L289)/5</f>
        <v>2973.567937866222</v>
      </c>
      <c r="M290" s="36">
        <f>SUM(M284:M289)/5</f>
        <v>3014.475239920822</v>
      </c>
      <c r="O290" s="4">
        <f>F290/M290</f>
        <v>0.01357028961885727</v>
      </c>
      <c r="P290" s="4">
        <f>L290/M290</f>
        <v>0.9864297103811427</v>
      </c>
    </row>
    <row r="291" spans="1:16" ht="12.75">
      <c r="A291" s="45"/>
      <c r="B291" s="20"/>
      <c r="C291" s="36"/>
      <c r="D291" s="36"/>
      <c r="E291" s="36"/>
      <c r="F291" s="36"/>
      <c r="H291" s="36"/>
      <c r="I291" s="36"/>
      <c r="J291" s="36"/>
      <c r="K291" s="36"/>
      <c r="L291" s="36"/>
      <c r="M291" s="36"/>
      <c r="O291" s="8"/>
      <c r="P291" s="8"/>
    </row>
    <row r="292" spans="1:16" ht="12.75">
      <c r="A292" s="45">
        <v>1411</v>
      </c>
      <c r="B292" s="20"/>
      <c r="C292" s="34">
        <v>2</v>
      </c>
      <c r="D292" s="34"/>
      <c r="E292" s="34">
        <f>C292+D292</f>
        <v>2</v>
      </c>
      <c r="F292" s="34">
        <f>3.86194838323702*E292</f>
        <v>7.72389676647404</v>
      </c>
      <c r="H292" s="36"/>
      <c r="I292" s="34">
        <v>50</v>
      </c>
      <c r="J292" s="34"/>
      <c r="K292" s="34">
        <f>I292+J292</f>
        <v>50</v>
      </c>
      <c r="L292" s="34">
        <f>43.0920648919096*K292</f>
        <v>2154.60324459548</v>
      </c>
      <c r="M292" s="34">
        <f>F292+L292</f>
        <v>2162.327141361954</v>
      </c>
      <c r="O292" s="4">
        <f>F292/M292</f>
        <v>0.0035720296983411583</v>
      </c>
      <c r="P292" s="4">
        <f>L292/M292</f>
        <v>0.9964279703016589</v>
      </c>
    </row>
    <row r="293" spans="1:16" ht="12.75">
      <c r="A293" s="45">
        <v>1412</v>
      </c>
      <c r="B293" s="20"/>
      <c r="C293" s="34">
        <v>523.442</v>
      </c>
      <c r="D293" s="34"/>
      <c r="E293" s="34">
        <f>C293+D293</f>
        <v>523.442</v>
      </c>
      <c r="F293" s="34">
        <f>4.63433805988442*E293</f>
        <v>2425.8071827420204</v>
      </c>
      <c r="H293" s="36"/>
      <c r="I293" s="34">
        <v>2608.424</v>
      </c>
      <c r="J293" s="34"/>
      <c r="K293" s="34">
        <f>I293+J293</f>
        <v>2608.424</v>
      </c>
      <c r="L293" s="34">
        <f>47.8800721021218*K293</f>
        <v>124891.52919290496</v>
      </c>
      <c r="M293" s="34">
        <f>F293+L293</f>
        <v>127317.33637564698</v>
      </c>
      <c r="O293" s="4">
        <f>F293/M293</f>
        <v>0.019053235417875302</v>
      </c>
      <c r="P293" s="4">
        <f>L293/M293</f>
        <v>0.9809467645821247</v>
      </c>
    </row>
    <row r="294" spans="1:16" ht="12.75">
      <c r="A294" s="45">
        <v>1413</v>
      </c>
      <c r="B294" s="20"/>
      <c r="C294" s="34">
        <v>1283.579</v>
      </c>
      <c r="D294" s="34"/>
      <c r="E294" s="34">
        <f>C294+D294</f>
        <v>1283.579</v>
      </c>
      <c r="F294" s="34">
        <f>4.63433805988442*E294</f>
        <v>5948.539012568383</v>
      </c>
      <c r="H294" s="36"/>
      <c r="I294" s="34">
        <v>3421.064</v>
      </c>
      <c r="J294" s="34"/>
      <c r="K294" s="34">
        <f>I294+J294</f>
        <v>3421.064</v>
      </c>
      <c r="L294" s="34">
        <f>47.8800721021218*K294</f>
        <v>163800.7909859732</v>
      </c>
      <c r="M294" s="34">
        <f>F294+L294</f>
        <v>169749.3299985416</v>
      </c>
      <c r="O294" s="4">
        <f>F294/M294</f>
        <v>0.03504307800578353</v>
      </c>
      <c r="P294" s="4">
        <f>L294/M294</f>
        <v>0.9649569219942165</v>
      </c>
    </row>
    <row r="295" spans="1:16" ht="12.75">
      <c r="A295" s="45">
        <v>1414</v>
      </c>
      <c r="B295" s="20"/>
      <c r="C295" s="34">
        <v>1514.2</v>
      </c>
      <c r="D295" s="34"/>
      <c r="E295" s="34">
        <f>C295+D295</f>
        <v>1514.2</v>
      </c>
      <c r="F295" s="34">
        <f>4.63433805988442*E295</f>
        <v>7017.314690276989</v>
      </c>
      <c r="H295" s="36"/>
      <c r="I295" s="34">
        <v>1636.929</v>
      </c>
      <c r="J295" s="34"/>
      <c r="K295" s="34">
        <f>I295+J295</f>
        <v>1636.929</v>
      </c>
      <c r="L295" s="34">
        <f>47.8800721021218*K295</f>
        <v>78376.27854605413</v>
      </c>
      <c r="M295" s="34">
        <f>F295+L295</f>
        <v>85393.59323633113</v>
      </c>
      <c r="O295" s="4">
        <f>F295/M295</f>
        <v>0.08217612615101243</v>
      </c>
      <c r="P295" s="4">
        <f>L295/M295</f>
        <v>0.9178238738489874</v>
      </c>
    </row>
    <row r="296" spans="1:16" ht="12.75">
      <c r="A296" s="45">
        <v>1415</v>
      </c>
      <c r="B296" s="20"/>
      <c r="C296" s="34">
        <v>1514.2</v>
      </c>
      <c r="D296" s="34"/>
      <c r="E296" s="34">
        <f>C296+D296</f>
        <v>1514.2</v>
      </c>
      <c r="F296" s="34">
        <f>4.63433805988442*E296</f>
        <v>7017.314690276989</v>
      </c>
      <c r="H296" s="36"/>
      <c r="I296" s="34">
        <v>1636.929</v>
      </c>
      <c r="J296" s="34"/>
      <c r="K296" s="34">
        <f>I296+J296</f>
        <v>1636.929</v>
      </c>
      <c r="L296" s="34">
        <f>47.8800721021218*K296</f>
        <v>78376.27854605413</v>
      </c>
      <c r="M296" s="34">
        <f>F296+L296</f>
        <v>85393.59323633113</v>
      </c>
      <c r="O296" s="4">
        <f>F296/M296</f>
        <v>0.08217612615101243</v>
      </c>
      <c r="P296" s="4">
        <f>L296/M296</f>
        <v>0.9178238738489874</v>
      </c>
    </row>
    <row r="297" spans="1:16" ht="12.75">
      <c r="A297" s="45"/>
      <c r="B297" s="20"/>
      <c r="C297" s="36"/>
      <c r="D297" s="36"/>
      <c r="E297" s="36"/>
      <c r="F297" s="36"/>
      <c r="H297" s="36"/>
      <c r="I297" s="36"/>
      <c r="J297" s="36"/>
      <c r="K297" s="36"/>
      <c r="L297" s="36"/>
      <c r="M297" s="36"/>
      <c r="O297" s="8"/>
      <c r="P297" s="8"/>
    </row>
    <row r="298" spans="1:16" ht="12.75">
      <c r="A298" s="45" t="s">
        <v>62</v>
      </c>
      <c r="B298" s="20"/>
      <c r="C298" s="36">
        <f>SUM(C292:C297)/5</f>
        <v>967.4842000000001</v>
      </c>
      <c r="D298" s="36">
        <f>SUM(D292:D297)/5</f>
        <v>0</v>
      </c>
      <c r="E298" s="36">
        <f>SUM(E292:E297)/5</f>
        <v>967.4842000000001</v>
      </c>
      <c r="F298" s="36">
        <f>SUM(F292:F297)/5</f>
        <v>4483.339894526171</v>
      </c>
      <c r="H298" s="36"/>
      <c r="I298" s="36">
        <f>SUM(I292:I297)/5</f>
        <v>1870.6691999999998</v>
      </c>
      <c r="J298" s="36">
        <f>SUM(J292:J297)/5</f>
        <v>0</v>
      </c>
      <c r="K298" s="36">
        <f>SUM(K292:K297)/5</f>
        <v>1870.6691999999998</v>
      </c>
      <c r="L298" s="36">
        <f>SUM(L292:L297)/5</f>
        <v>89519.89610311638</v>
      </c>
      <c r="M298" s="36">
        <f>SUM(M292:M297)/5</f>
        <v>94003.23599764255</v>
      </c>
      <c r="O298" s="4">
        <f>F298/M298</f>
        <v>0.047693463389266784</v>
      </c>
      <c r="P298" s="4">
        <f>L298/M298</f>
        <v>0.9523065366107332</v>
      </c>
    </row>
    <row r="299" spans="1:16" ht="12.75">
      <c r="A299" s="45"/>
      <c r="B299" s="20"/>
      <c r="C299" s="36"/>
      <c r="D299" s="36"/>
      <c r="E299" s="36"/>
      <c r="F299" s="36"/>
      <c r="H299" s="36"/>
      <c r="I299" s="36"/>
      <c r="J299" s="36"/>
      <c r="K299" s="36"/>
      <c r="L299" s="36"/>
      <c r="M299" s="36"/>
      <c r="O299" s="8"/>
      <c r="P299" s="8"/>
    </row>
    <row r="300" spans="1:16" ht="12.75">
      <c r="A300" s="45">
        <v>1416</v>
      </c>
      <c r="B300" s="20"/>
      <c r="C300" s="34">
        <v>1514.2</v>
      </c>
      <c r="D300" s="34"/>
      <c r="E300" s="34">
        <f>C300+D300</f>
        <v>1514.2</v>
      </c>
      <c r="F300" s="34">
        <f>4.63433805988442*E300</f>
        <v>7017.314690276989</v>
      </c>
      <c r="H300" s="36"/>
      <c r="I300" s="34">
        <v>1636.929</v>
      </c>
      <c r="J300" s="34"/>
      <c r="K300" s="34">
        <f>I300+J300</f>
        <v>1636.929</v>
      </c>
      <c r="L300" s="34">
        <f>47.8800721021218*K300</f>
        <v>78376.27854605413</v>
      </c>
      <c r="M300" s="34">
        <f>F300+L300</f>
        <v>85393.59323633113</v>
      </c>
      <c r="O300" s="4">
        <f>F300/M300</f>
        <v>0.08217612615101243</v>
      </c>
      <c r="P300" s="4">
        <f>L300/M300</f>
        <v>0.9178238738489874</v>
      </c>
    </row>
    <row r="301" spans="1:16" ht="12.75">
      <c r="A301" s="45">
        <v>1417</v>
      </c>
      <c r="B301" s="20"/>
      <c r="C301" s="34">
        <v>1514.2</v>
      </c>
      <c r="D301" s="34"/>
      <c r="E301" s="34">
        <f>C301+D301</f>
        <v>1514.2</v>
      </c>
      <c r="F301" s="34">
        <f>4.63433805988442*E301</f>
        <v>7017.314690276989</v>
      </c>
      <c r="H301" s="36"/>
      <c r="I301" s="34">
        <v>1636.929</v>
      </c>
      <c r="J301" s="34"/>
      <c r="K301" s="34">
        <f>I301+J301</f>
        <v>1636.929</v>
      </c>
      <c r="L301" s="34">
        <f>47.8800721021218*K301</f>
        <v>78376.27854605413</v>
      </c>
      <c r="M301" s="34">
        <f>F301+L301</f>
        <v>85393.59323633113</v>
      </c>
      <c r="O301" s="4">
        <f>F301/M301</f>
        <v>0.08217612615101243</v>
      </c>
      <c r="P301" s="4">
        <f>L301/M301</f>
        <v>0.9178238738489874</v>
      </c>
    </row>
    <row r="302" spans="1:16" ht="12.75">
      <c r="A302" s="45">
        <v>1418</v>
      </c>
      <c r="B302" s="20"/>
      <c r="C302" s="34">
        <v>454.218</v>
      </c>
      <c r="D302" s="34"/>
      <c r="E302" s="34">
        <f>C302+D302</f>
        <v>454.218</v>
      </c>
      <c r="F302" s="34">
        <f>4.63433805988442*E302</f>
        <v>2104.9997648845815</v>
      </c>
      <c r="H302" s="36"/>
      <c r="I302" s="34">
        <v>664.836</v>
      </c>
      <c r="J302" s="34"/>
      <c r="K302" s="34">
        <f>I302+J302</f>
        <v>664.836</v>
      </c>
      <c r="L302" s="34">
        <f>47.8800721021218*K302</f>
        <v>31832.39561608625</v>
      </c>
      <c r="M302" s="34">
        <f>F302+L302</f>
        <v>33937.39538097083</v>
      </c>
      <c r="O302" s="4">
        <f>F302/M302</f>
        <v>0.06202596696813345</v>
      </c>
      <c r="P302" s="4">
        <f>L302/M302</f>
        <v>0.9379740330318665</v>
      </c>
    </row>
    <row r="303" spans="1:16" ht="12.75">
      <c r="A303" s="45">
        <v>1419</v>
      </c>
      <c r="B303" s="20"/>
      <c r="C303" s="34">
        <v>371.952</v>
      </c>
      <c r="D303" s="34"/>
      <c r="E303" s="34">
        <f>C303+D303</f>
        <v>371.952</v>
      </c>
      <c r="F303" s="34">
        <f>4.63433805988442*E303</f>
        <v>1723.7513100501296</v>
      </c>
      <c r="H303" s="36"/>
      <c r="I303" s="34">
        <v>633.121</v>
      </c>
      <c r="J303" s="34"/>
      <c r="K303" s="34">
        <f>I303+J303</f>
        <v>633.121</v>
      </c>
      <c r="L303" s="34">
        <f>47.8800721021218*K303</f>
        <v>30313.879129367455</v>
      </c>
      <c r="M303" s="34">
        <f>F303+L303</f>
        <v>32037.630439417586</v>
      </c>
      <c r="O303" s="4">
        <f>F303/M303</f>
        <v>0.05380395760884074</v>
      </c>
      <c r="P303" s="4">
        <f>L303/M303</f>
        <v>0.9461960423911592</v>
      </c>
    </row>
    <row r="304" spans="1:16" ht="12.75">
      <c r="A304" s="45">
        <v>1420</v>
      </c>
      <c r="B304" s="20"/>
      <c r="C304" s="34">
        <v>334.244</v>
      </c>
      <c r="D304" s="34"/>
      <c r="E304" s="34">
        <f>C304+D304</f>
        <v>334.244</v>
      </c>
      <c r="F304" s="34">
        <f>4.63433805988442*E304</f>
        <v>1548.9996904880081</v>
      </c>
      <c r="H304" s="36"/>
      <c r="I304" s="34">
        <v>603.937</v>
      </c>
      <c r="J304" s="34"/>
      <c r="K304" s="34">
        <f>I304+J304</f>
        <v>603.937</v>
      </c>
      <c r="L304" s="34">
        <f>47.8800721021218*K304</f>
        <v>28916.547105139136</v>
      </c>
      <c r="M304" s="34">
        <f>F304+L304</f>
        <v>30465.546795627146</v>
      </c>
      <c r="O304" s="4">
        <f>F304/M304</f>
        <v>0.05084430950408357</v>
      </c>
      <c r="P304" s="4">
        <f>L304/M304</f>
        <v>0.9491556904959164</v>
      </c>
    </row>
    <row r="305" spans="1:16" ht="12.75">
      <c r="A305" s="45"/>
      <c r="B305" s="20"/>
      <c r="C305" s="36"/>
      <c r="D305" s="36"/>
      <c r="E305" s="36"/>
      <c r="F305" s="36"/>
      <c r="H305" s="36"/>
      <c r="I305" s="36"/>
      <c r="J305" s="36"/>
      <c r="K305" s="36"/>
      <c r="L305" s="36"/>
      <c r="M305" s="36"/>
      <c r="O305" s="8"/>
      <c r="P305" s="8"/>
    </row>
    <row r="306" spans="1:16" ht="12.75">
      <c r="A306" s="45" t="s">
        <v>64</v>
      </c>
      <c r="B306" s="20"/>
      <c r="C306" s="36">
        <f>SUM(C300:C305)/5</f>
        <v>837.7627999999999</v>
      </c>
      <c r="D306" s="36">
        <f>SUM(D300:D305)/5</f>
        <v>0</v>
      </c>
      <c r="E306" s="36">
        <f>SUM(E300:E305)/5</f>
        <v>837.7627999999999</v>
      </c>
      <c r="F306" s="36">
        <f>SUM(F300:F305)/5</f>
        <v>3882.47602919534</v>
      </c>
      <c r="H306" s="36"/>
      <c r="I306" s="36">
        <f>SUM(I300:I305)/5</f>
        <v>1035.1504</v>
      </c>
      <c r="J306" s="36">
        <f>SUM(J300:J305)/5</f>
        <v>0</v>
      </c>
      <c r="K306" s="36">
        <f>SUM(K300:K305)/5</f>
        <v>1035.1504</v>
      </c>
      <c r="L306" s="36">
        <f>SUM(L300:L305)/5</f>
        <v>49563.07578854022</v>
      </c>
      <c r="M306" s="36">
        <f>SUM(M300:M305)/5</f>
        <v>53445.55181773556</v>
      </c>
      <c r="O306" s="4">
        <f>F306/M306</f>
        <v>0.07264357644646799</v>
      </c>
      <c r="P306" s="4">
        <f>L306/M306</f>
        <v>0.927356423553532</v>
      </c>
    </row>
    <row r="307" spans="1:16" ht="12.75">
      <c r="A307" s="45"/>
      <c r="B307" s="20"/>
      <c r="C307" s="36"/>
      <c r="D307" s="36"/>
      <c r="E307" s="36"/>
      <c r="F307" s="36"/>
      <c r="H307" s="36"/>
      <c r="I307" s="36"/>
      <c r="J307" s="36"/>
      <c r="K307" s="36"/>
      <c r="L307" s="36"/>
      <c r="M307" s="36"/>
      <c r="O307" s="8"/>
      <c r="P307" s="8"/>
    </row>
    <row r="308" spans="1:16" ht="12.75">
      <c r="A308" s="45">
        <v>1421</v>
      </c>
      <c r="B308" s="20"/>
      <c r="C308" s="34">
        <v>478.502</v>
      </c>
      <c r="D308" s="34"/>
      <c r="E308" s="34">
        <f>C308+D308</f>
        <v>478.502</v>
      </c>
      <c r="F308" s="34">
        <f>4.63433805988442*E308</f>
        <v>2217.5400303308147</v>
      </c>
      <c r="H308" s="36"/>
      <c r="I308" s="34">
        <v>1371.084</v>
      </c>
      <c r="J308" s="34"/>
      <c r="K308" s="34">
        <f>I308+J308</f>
        <v>1371.084</v>
      </c>
      <c r="L308" s="34">
        <f>47.8800721021218*K308</f>
        <v>65647.60077806556</v>
      </c>
      <c r="M308" s="34">
        <f>F308+L308</f>
        <v>67865.14080839638</v>
      </c>
      <c r="O308" s="4">
        <f>F308/M308</f>
        <v>0.0326756859842315</v>
      </c>
      <c r="P308" s="4">
        <f>L308/M308</f>
        <v>0.9673243140157686</v>
      </c>
    </row>
    <row r="309" spans="1:16" ht="12.75">
      <c r="A309" s="45">
        <v>1422</v>
      </c>
      <c r="B309" s="20"/>
      <c r="C309" s="34">
        <v>687.473</v>
      </c>
      <c r="D309" s="34">
        <v>310.42</v>
      </c>
      <c r="E309" s="34">
        <f>C309+D309</f>
        <v>997.893</v>
      </c>
      <c r="F309" s="34">
        <f>4.63433805988442*E309</f>
        <v>4624.573509592244</v>
      </c>
      <c r="H309" s="36"/>
      <c r="I309" s="34">
        <v>2060.265</v>
      </c>
      <c r="J309" s="34">
        <v>159.949</v>
      </c>
      <c r="K309" s="34">
        <f>I309+J309</f>
        <v>2220.214</v>
      </c>
      <c r="L309" s="34">
        <f>47.8800721021218*K309</f>
        <v>106304.00640214025</v>
      </c>
      <c r="M309" s="34">
        <f>F309+L309</f>
        <v>110928.5799117325</v>
      </c>
      <c r="O309" s="4">
        <f>F309/M309</f>
        <v>0.04168964854027776</v>
      </c>
      <c r="P309" s="4">
        <f>L309/M309</f>
        <v>0.9583103514597222</v>
      </c>
    </row>
    <row r="310" spans="1:16" ht="12.75">
      <c r="A310" s="45">
        <v>1423</v>
      </c>
      <c r="B310" s="20"/>
      <c r="C310" s="34">
        <v>896.444</v>
      </c>
      <c r="D310" s="34">
        <v>1541.998</v>
      </c>
      <c r="E310" s="34">
        <f>C310+D310</f>
        <v>2438.442</v>
      </c>
      <c r="F310" s="34">
        <f>4.63433805988442*E310</f>
        <v>11300.564567420684</v>
      </c>
      <c r="H310" s="36"/>
      <c r="I310" s="34">
        <v>2749.446</v>
      </c>
      <c r="J310" s="34">
        <v>939.139</v>
      </c>
      <c r="K310" s="34">
        <f>I310+J310</f>
        <v>3688.585</v>
      </c>
      <c r="L310" s="34">
        <f>47.8800721021218*K310</f>
        <v>176609.71575480496</v>
      </c>
      <c r="M310" s="34">
        <f>F310+L310</f>
        <v>187910.28032222565</v>
      </c>
      <c r="O310" s="4">
        <f>F310/M310</f>
        <v>0.06013808583565865</v>
      </c>
      <c r="P310" s="4">
        <f>L310/M310</f>
        <v>0.9398619141643413</v>
      </c>
    </row>
    <row r="311" spans="1:16" ht="12.75">
      <c r="A311" s="45">
        <v>1424</v>
      </c>
      <c r="B311" s="20"/>
      <c r="C311" s="34">
        <v>896.444</v>
      </c>
      <c r="D311" s="34">
        <v>4622.912</v>
      </c>
      <c r="E311" s="34">
        <f>C311+D311</f>
        <v>5519.356</v>
      </c>
      <c r="F311" s="34">
        <f>4.63433805988442*E311</f>
        <v>25578.56157685143</v>
      </c>
      <c r="H311" s="36"/>
      <c r="I311" s="34">
        <v>2749.446</v>
      </c>
      <c r="J311" s="34">
        <v>1243.533</v>
      </c>
      <c r="K311" s="34">
        <f>I311+J311</f>
        <v>3992.979</v>
      </c>
      <c r="L311" s="34">
        <f>47.8800721021218*K311</f>
        <v>191184.1224222582</v>
      </c>
      <c r="M311" s="34">
        <f>F311+L311</f>
        <v>216762.68399910963</v>
      </c>
      <c r="O311" s="4">
        <f>F311/M311</f>
        <v>0.11800260591420106</v>
      </c>
      <c r="P311" s="4">
        <f>L311/M311</f>
        <v>0.8819973940857989</v>
      </c>
    </row>
    <row r="312" spans="1:16" ht="12.75">
      <c r="A312" s="45">
        <v>1425</v>
      </c>
      <c r="B312" s="20"/>
      <c r="C312" s="34">
        <v>521.875</v>
      </c>
      <c r="D312" s="34">
        <v>5974.031</v>
      </c>
      <c r="E312" s="34">
        <f>C312+D312</f>
        <v>6495.906</v>
      </c>
      <c r="F312" s="34">
        <f>4.63433805988442*E312</f>
        <v>30104.22440923156</v>
      </c>
      <c r="H312" s="36"/>
      <c r="I312" s="34">
        <v>1206.362</v>
      </c>
      <c r="J312" s="34">
        <v>307.345</v>
      </c>
      <c r="K312" s="34">
        <f>I312+J312</f>
        <v>1513.707</v>
      </c>
      <c r="L312" s="34">
        <f>47.8800721021218*K312</f>
        <v>72476.40030148649</v>
      </c>
      <c r="M312" s="34">
        <f>F312+L312</f>
        <v>102580.62471071805</v>
      </c>
      <c r="O312" s="4">
        <f>F312/M312</f>
        <v>0.2934689128100635</v>
      </c>
      <c r="P312" s="4">
        <f>L312/M312</f>
        <v>0.7065310871899364</v>
      </c>
    </row>
    <row r="313" spans="1:16" ht="12.75">
      <c r="A313" s="45"/>
      <c r="B313" s="20"/>
      <c r="C313" s="36"/>
      <c r="D313" s="36"/>
      <c r="E313" s="36"/>
      <c r="F313" s="36"/>
      <c r="H313" s="36"/>
      <c r="I313" s="36"/>
      <c r="J313" s="36"/>
      <c r="K313" s="36"/>
      <c r="L313" s="36"/>
      <c r="M313" s="36"/>
      <c r="O313" s="8"/>
      <c r="P313" s="8"/>
    </row>
    <row r="314" spans="1:16" ht="12.75">
      <c r="A314" s="45" t="s">
        <v>66</v>
      </c>
      <c r="B314" s="20"/>
      <c r="C314" s="36">
        <f>SUM(C308:C313)/5</f>
        <v>696.1476</v>
      </c>
      <c r="D314" s="36">
        <f>SUM(D308:D313)/5</f>
        <v>2489.8722000000002</v>
      </c>
      <c r="E314" s="36">
        <f>SUM(E308:E313)/5</f>
        <v>3186.0197999999996</v>
      </c>
      <c r="F314" s="36">
        <f>SUM(F308:F313)/5</f>
        <v>14765.092818685347</v>
      </c>
      <c r="H314" s="36"/>
      <c r="I314" s="36">
        <f>SUM(I308:I313)/5</f>
        <v>2027.3205999999998</v>
      </c>
      <c r="J314" s="36">
        <f>SUM(J308:J313)/5</f>
        <v>529.9932000000001</v>
      </c>
      <c r="K314" s="36">
        <f>SUM(K308:K313)/5</f>
        <v>2557.3138</v>
      </c>
      <c r="L314" s="36">
        <f>SUM(L308:L313)/5</f>
        <v>122444.36913175108</v>
      </c>
      <c r="M314" s="36">
        <f>SUM(M308:M313)/5</f>
        <v>137209.46195043644</v>
      </c>
      <c r="O314" s="4">
        <f>F314/M314</f>
        <v>0.10760987331922398</v>
      </c>
      <c r="P314" s="4">
        <f>L314/M314</f>
        <v>0.892390126680776</v>
      </c>
    </row>
    <row r="315" spans="1:16" ht="12.75">
      <c r="A315" s="45"/>
      <c r="B315" s="20"/>
      <c r="C315" s="36"/>
      <c r="D315" s="36"/>
      <c r="E315" s="36"/>
      <c r="F315" s="36"/>
      <c r="H315" s="36"/>
      <c r="I315" s="36"/>
      <c r="J315" s="36"/>
      <c r="K315" s="36"/>
      <c r="L315" s="36"/>
      <c r="M315" s="36"/>
      <c r="O315" s="8"/>
      <c r="P315" s="8"/>
    </row>
    <row r="316" spans="1:16" ht="12.75">
      <c r="A316" s="45">
        <v>1426</v>
      </c>
      <c r="B316" s="20"/>
      <c r="C316" s="34">
        <v>562.276</v>
      </c>
      <c r="D316" s="34">
        <v>5046.416</v>
      </c>
      <c r="E316" s="34">
        <f>C316+D316</f>
        <v>5608.692</v>
      </c>
      <c r="F316" s="34">
        <f>4.63433805988442*E316</f>
        <v>25992.574801769264</v>
      </c>
      <c r="H316" s="36"/>
      <c r="I316" s="34">
        <v>688.738</v>
      </c>
      <c r="J316" s="34">
        <v>171.007</v>
      </c>
      <c r="K316" s="34">
        <f>I316+J316</f>
        <v>859.7450000000001</v>
      </c>
      <c r="L316" s="34">
        <f>47.8800721021218*K316</f>
        <v>41164.652589438716</v>
      </c>
      <c r="M316" s="34">
        <f>F316+L316</f>
        <v>67157.22739120798</v>
      </c>
      <c r="O316" s="4">
        <f>F316/M316</f>
        <v>0.38704061813564583</v>
      </c>
      <c r="P316" s="4">
        <f>L316/M316</f>
        <v>0.6129593818643541</v>
      </c>
    </row>
    <row r="317" spans="1:16" ht="12.75">
      <c r="A317" s="45">
        <v>1427</v>
      </c>
      <c r="B317" s="20"/>
      <c r="C317" s="34">
        <v>506.323</v>
      </c>
      <c r="D317" s="34">
        <v>4610.237</v>
      </c>
      <c r="E317" s="34">
        <f>C317+D317</f>
        <v>5116.56</v>
      </c>
      <c r="F317" s="34">
        <f>4.63433805988442*E317</f>
        <v>23711.86874368223</v>
      </c>
      <c r="H317" s="36"/>
      <c r="I317" s="34">
        <v>648.146</v>
      </c>
      <c r="J317" s="34">
        <v>94.766</v>
      </c>
      <c r="K317" s="34">
        <f>I317+J317</f>
        <v>742.9119999999999</v>
      </c>
      <c r="L317" s="34">
        <f>47.8800721021218*K317</f>
        <v>35570.68012553151</v>
      </c>
      <c r="M317" s="34">
        <f>F317+L317</f>
        <v>59282.54886921374</v>
      </c>
      <c r="O317" s="4">
        <f>F317/M317</f>
        <v>0.3999805878116711</v>
      </c>
      <c r="P317" s="4">
        <f>L317/M317</f>
        <v>0.6000194121883289</v>
      </c>
    </row>
    <row r="318" spans="1:16" ht="12.75">
      <c r="A318" s="45">
        <v>1428</v>
      </c>
      <c r="B318" s="20"/>
      <c r="C318" s="34">
        <v>376.652</v>
      </c>
      <c r="D318" s="34">
        <v>5646.787</v>
      </c>
      <c r="E318" s="34">
        <f>C318+D318</f>
        <v>6023.439</v>
      </c>
      <c r="F318" s="34">
        <f>4.63433805988442*E318</f>
        <v>27914.65260909215</v>
      </c>
      <c r="H318" s="36"/>
      <c r="I318" s="34">
        <v>588.925</v>
      </c>
      <c r="J318" s="34">
        <v>46.543</v>
      </c>
      <c r="K318" s="34">
        <f>I318+J318</f>
        <v>635.468</v>
      </c>
      <c r="L318" s="34">
        <f>47.8800721021218*K318</f>
        <v>30426.253658591133</v>
      </c>
      <c r="M318" s="34">
        <f>F318+L318</f>
        <v>58340.906267683284</v>
      </c>
      <c r="O318" s="4">
        <f>F318/M318</f>
        <v>0.4784747854449235</v>
      </c>
      <c r="P318" s="4">
        <f>L318/M318</f>
        <v>0.5215252145550765</v>
      </c>
    </row>
    <row r="319" spans="1:16" ht="12.75">
      <c r="A319" s="45">
        <v>1429</v>
      </c>
      <c r="B319" s="20"/>
      <c r="C319" s="34">
        <v>624.647</v>
      </c>
      <c r="D319" s="34">
        <v>7722.475</v>
      </c>
      <c r="E319" s="34">
        <f>C319+D319</f>
        <v>8347.122000000001</v>
      </c>
      <c r="F319" s="34">
        <f>4.63433805988442*E319</f>
        <v>38683.38517509856</v>
      </c>
      <c r="H319" s="36"/>
      <c r="I319" s="34">
        <v>354.79</v>
      </c>
      <c r="J319" s="34">
        <v>36.058</v>
      </c>
      <c r="K319" s="34">
        <f>I319+J319</f>
        <v>390.848</v>
      </c>
      <c r="L319" s="34">
        <f>47.8800721021218*K319</f>
        <v>18713.830420970102</v>
      </c>
      <c r="M319" s="34">
        <f>F319+L319</f>
        <v>57397.215596068665</v>
      </c>
      <c r="O319" s="4">
        <f>F319/M319</f>
        <v>0.6739592639359343</v>
      </c>
      <c r="P319" s="4">
        <f>L319/M319</f>
        <v>0.32604073606406575</v>
      </c>
    </row>
    <row r="320" spans="1:16" ht="12.75">
      <c r="A320" s="45">
        <v>1430</v>
      </c>
      <c r="B320" s="20"/>
      <c r="C320" s="34">
        <v>616.014</v>
      </c>
      <c r="D320" s="34">
        <v>8581.212</v>
      </c>
      <c r="E320" s="34">
        <f>C320+D320</f>
        <v>9197.225999999999</v>
      </c>
      <c r="F320" s="34">
        <f>4.63433805988442*E320</f>
        <v>42623.05449715853</v>
      </c>
      <c r="H320" s="36"/>
      <c r="I320" s="34">
        <v>328.35</v>
      </c>
      <c r="J320" s="34">
        <v>40.069</v>
      </c>
      <c r="K320" s="34">
        <f>I320+J320</f>
        <v>368.41900000000004</v>
      </c>
      <c r="L320" s="34">
        <f>47.8800721021218*K320</f>
        <v>17639.928283791614</v>
      </c>
      <c r="M320" s="34">
        <f>F320+L320</f>
        <v>60262.982780950144</v>
      </c>
      <c r="O320" s="4">
        <f>F320/M320</f>
        <v>0.7072841822664011</v>
      </c>
      <c r="P320" s="4">
        <f>L320/M320</f>
        <v>0.29271581773359895</v>
      </c>
    </row>
    <row r="321" spans="1:16" ht="12.75">
      <c r="A321" s="45"/>
      <c r="B321" s="20"/>
      <c r="C321" s="36"/>
      <c r="D321" s="36"/>
      <c r="E321" s="36"/>
      <c r="F321" s="36"/>
      <c r="H321" s="36"/>
      <c r="I321" s="36"/>
      <c r="J321" s="36"/>
      <c r="K321" s="36"/>
      <c r="L321" s="36"/>
      <c r="M321" s="36"/>
      <c r="O321" s="8"/>
      <c r="P321" s="8"/>
    </row>
    <row r="322" spans="1:16" ht="12.75">
      <c r="A322" s="45" t="s">
        <v>67</v>
      </c>
      <c r="B322" s="20"/>
      <c r="C322" s="36">
        <f>SUM(C316:C321)/5</f>
        <v>537.1824</v>
      </c>
      <c r="D322" s="36">
        <f>SUM(D316:D321)/5</f>
        <v>6321.4254</v>
      </c>
      <c r="E322" s="36">
        <f>SUM(E316:E321)/5</f>
        <v>6858.607800000001</v>
      </c>
      <c r="F322" s="36">
        <f>SUM(F316:F321)/5</f>
        <v>31785.107165360147</v>
      </c>
      <c r="H322" s="36"/>
      <c r="I322" s="36">
        <f>SUM(I316:I321)/5</f>
        <v>521.7898</v>
      </c>
      <c r="J322" s="36">
        <f>SUM(J316:J321)/5</f>
        <v>77.68860000000001</v>
      </c>
      <c r="K322" s="36">
        <f>SUM(K316:K321)/5</f>
        <v>599.4784</v>
      </c>
      <c r="L322" s="36">
        <f>SUM(L316:L321)/5</f>
        <v>28703.069015664612</v>
      </c>
      <c r="M322" s="36">
        <f>SUM(M316:M321)/5</f>
        <v>60488.17618102477</v>
      </c>
      <c r="O322" s="4">
        <f>F322/M322</f>
        <v>0.5254763686416318</v>
      </c>
      <c r="P322" s="4">
        <f>L322/M322</f>
        <v>0.474523631358368</v>
      </c>
    </row>
    <row r="323" spans="1:16" ht="12.75">
      <c r="A323" s="45"/>
      <c r="B323" s="20"/>
      <c r="C323" s="36"/>
      <c r="D323" s="36"/>
      <c r="E323" s="36"/>
      <c r="F323" s="36"/>
      <c r="H323" s="36"/>
      <c r="I323" s="36"/>
      <c r="J323" s="36"/>
      <c r="K323" s="36"/>
      <c r="L323" s="36"/>
      <c r="M323" s="36"/>
      <c r="O323" s="8"/>
      <c r="P323" s="8"/>
    </row>
    <row r="324" spans="1:16" ht="12.75">
      <c r="A324" s="45">
        <v>1431</v>
      </c>
      <c r="B324" s="20"/>
      <c r="C324" s="34">
        <v>607.382</v>
      </c>
      <c r="D324" s="34">
        <v>9926.776</v>
      </c>
      <c r="E324" s="34">
        <f>C324+D324</f>
        <v>10534.158</v>
      </c>
      <c r="F324" s="34">
        <f>4.63433805988442*E324</f>
        <v>48818.84934823593</v>
      </c>
      <c r="H324" s="36"/>
      <c r="I324" s="34">
        <v>301.909</v>
      </c>
      <c r="J324" s="34">
        <v>42.167</v>
      </c>
      <c r="K324" s="34">
        <f>I324+J324</f>
        <v>344.076</v>
      </c>
      <c r="L324" s="34">
        <f>47.8800721021218*K324</f>
        <v>16474.38368860966</v>
      </c>
      <c r="M324" s="34">
        <f>F324+L324</f>
        <v>65293.233036845595</v>
      </c>
      <c r="O324" s="4">
        <f>F324/M324</f>
        <v>0.7476862008148224</v>
      </c>
      <c r="P324" s="4">
        <f>L324/M324</f>
        <v>0.25231379918517755</v>
      </c>
    </row>
    <row r="325" spans="1:16" ht="12.75">
      <c r="A325" s="45">
        <v>1432</v>
      </c>
      <c r="B325" s="20"/>
      <c r="C325" s="34">
        <v>474.796</v>
      </c>
      <c r="D325" s="34">
        <v>9662.221</v>
      </c>
      <c r="E325" s="34">
        <f>C325+D325</f>
        <v>10137.017</v>
      </c>
      <c r="F325" s="34">
        <f>4.63433805988442*E325</f>
        <v>46978.36369679538</v>
      </c>
      <c r="H325" s="36"/>
      <c r="I325" s="34">
        <v>227.479</v>
      </c>
      <c r="J325" s="34"/>
      <c r="K325" s="34">
        <f>I325+J325</f>
        <v>227.479</v>
      </c>
      <c r="L325" s="34">
        <f>47.8800721021218*K325</f>
        <v>10891.710921718566</v>
      </c>
      <c r="M325" s="34">
        <f>F325+L325</f>
        <v>57870.07461851394</v>
      </c>
      <c r="O325" s="4">
        <f>F325/M325</f>
        <v>0.8117902734095653</v>
      </c>
      <c r="P325" s="4">
        <f>L325/M325</f>
        <v>0.18820972659043475</v>
      </c>
    </row>
    <row r="326" spans="1:16" ht="12.75">
      <c r="A326" s="45">
        <v>1433</v>
      </c>
      <c r="B326" s="20"/>
      <c r="C326" s="34">
        <v>278.848</v>
      </c>
      <c r="D326" s="34">
        <v>8848.461</v>
      </c>
      <c r="E326" s="34">
        <f>C326+D326</f>
        <v>9127.309</v>
      </c>
      <c r="F326" s="34">
        <f>4.63433805988442*E326</f>
        <v>42299.0354830256</v>
      </c>
      <c r="H326" s="36"/>
      <c r="I326" s="34">
        <v>170.516</v>
      </c>
      <c r="J326" s="34"/>
      <c r="K326" s="34">
        <f>I326+J326</f>
        <v>170.516</v>
      </c>
      <c r="L326" s="34">
        <f>47.8800721021218*K326</f>
        <v>8164.3183745654005</v>
      </c>
      <c r="M326" s="34">
        <f>F326+L326</f>
        <v>50463.353857591</v>
      </c>
      <c r="O326" s="4">
        <f>F326/M326</f>
        <v>0.838212925807402</v>
      </c>
      <c r="P326" s="4">
        <f>L326/M326</f>
        <v>0.161787074192598</v>
      </c>
    </row>
    <row r="327" spans="1:16" ht="12.75">
      <c r="A327" s="45">
        <v>1434</v>
      </c>
      <c r="B327" s="20"/>
      <c r="C327" s="34">
        <v>184.489</v>
      </c>
      <c r="D327" s="34">
        <v>5852.615</v>
      </c>
      <c r="E327" s="34">
        <f>C327+D327</f>
        <v>6037.103999999999</v>
      </c>
      <c r="F327" s="34">
        <f>4.63433805988442*E327</f>
        <v>27977.980838680465</v>
      </c>
      <c r="H327" s="36"/>
      <c r="I327" s="34">
        <v>221.013</v>
      </c>
      <c r="J327" s="34"/>
      <c r="K327" s="34">
        <f>I327+J327</f>
        <v>221.013</v>
      </c>
      <c r="L327" s="34">
        <f>47.8800721021218*K327</f>
        <v>10582.118375506247</v>
      </c>
      <c r="M327" s="34">
        <f>F327+L327</f>
        <v>38560.09921418671</v>
      </c>
      <c r="O327" s="4">
        <f>F327/M327</f>
        <v>0.7255681756230296</v>
      </c>
      <c r="P327" s="4">
        <f>L327/M327</f>
        <v>0.27443182437697056</v>
      </c>
    </row>
    <row r="328" spans="1:16" ht="12.75">
      <c r="A328" s="45">
        <v>1435</v>
      </c>
      <c r="B328" s="20"/>
      <c r="C328" s="34">
        <v>193.308</v>
      </c>
      <c r="D328" s="34">
        <v>4268.829</v>
      </c>
      <c r="E328" s="34">
        <f>C328+D328</f>
        <v>4462.137</v>
      </c>
      <c r="F328" s="34">
        <f>4.63433805988442*E328</f>
        <v>20679.051327518482</v>
      </c>
      <c r="H328" s="36"/>
      <c r="I328" s="34">
        <v>140.839</v>
      </c>
      <c r="J328" s="34"/>
      <c r="K328" s="34">
        <f>I328+J328</f>
        <v>140.839</v>
      </c>
      <c r="L328" s="34">
        <f>47.8800721021218*K328</f>
        <v>6743.381474790733</v>
      </c>
      <c r="M328" s="34">
        <f>F328+L328</f>
        <v>27422.432802309217</v>
      </c>
      <c r="O328" s="4">
        <f>F328/M328</f>
        <v>0.7540925152992669</v>
      </c>
      <c r="P328" s="4">
        <f>L328/M328</f>
        <v>0.245907484700733</v>
      </c>
    </row>
    <row r="329" spans="1:16" ht="12.75">
      <c r="A329" s="45"/>
      <c r="B329" s="20"/>
      <c r="C329" s="36"/>
      <c r="D329" s="36"/>
      <c r="E329" s="36"/>
      <c r="F329" s="36"/>
      <c r="H329" s="36"/>
      <c r="I329" s="36"/>
      <c r="J329" s="36"/>
      <c r="K329" s="36"/>
      <c r="L329" s="36"/>
      <c r="M329" s="36"/>
      <c r="O329" s="8"/>
      <c r="P329" s="8"/>
    </row>
    <row r="330" spans="1:16" ht="12.75">
      <c r="A330" s="45" t="s">
        <v>70</v>
      </c>
      <c r="B330" s="20"/>
      <c r="C330" s="36">
        <f>SUM(C324:C329)/5</f>
        <v>347.7646</v>
      </c>
      <c r="D330" s="36">
        <f>SUM(D324:D329)/5</f>
        <v>7711.780399999999</v>
      </c>
      <c r="E330" s="36">
        <f>SUM(E324:E329)/5</f>
        <v>8059.545</v>
      </c>
      <c r="F330" s="36">
        <f>SUM(F324:F329)/5</f>
        <v>37350.65613885117</v>
      </c>
      <c r="H330" s="36"/>
      <c r="I330" s="36">
        <f>SUM(I324:I329)/5</f>
        <v>212.3512</v>
      </c>
      <c r="J330" s="36">
        <f>SUM(J324:J329)/5</f>
        <v>8.4334</v>
      </c>
      <c r="K330" s="36">
        <f>SUM(K324:K329)/5</f>
        <v>220.7846</v>
      </c>
      <c r="L330" s="36">
        <f>SUM(L324:L329)/5</f>
        <v>10571.18256703812</v>
      </c>
      <c r="M330" s="36">
        <f>SUM(M324:M329)/5</f>
        <v>47921.83870588929</v>
      </c>
      <c r="O330" s="4">
        <f>F330/M330</f>
        <v>0.7794078263165851</v>
      </c>
      <c r="P330" s="4">
        <f>L330/M330</f>
        <v>0.2205921736834148</v>
      </c>
    </row>
    <row r="331" spans="1:16" ht="12.75">
      <c r="A331" s="45"/>
      <c r="B331" s="20"/>
      <c r="C331" s="36"/>
      <c r="D331" s="36"/>
      <c r="E331" s="36"/>
      <c r="F331" s="36"/>
      <c r="H331" s="36"/>
      <c r="I331" s="36"/>
      <c r="J331" s="36"/>
      <c r="K331" s="36"/>
      <c r="L331" s="36"/>
      <c r="M331" s="36"/>
      <c r="O331" s="8"/>
      <c r="P331" s="8"/>
    </row>
    <row r="332" spans="1:16" ht="12.75">
      <c r="A332" s="45">
        <v>1436</v>
      </c>
      <c r="B332" s="20"/>
      <c r="C332" s="34">
        <v>93.505</v>
      </c>
      <c r="D332" s="34">
        <v>2096.066</v>
      </c>
      <c r="E332" s="34">
        <f>C332+D332</f>
        <v>2189.571</v>
      </c>
      <c r="F332" s="34">
        <f>4.63433805988442*E332</f>
        <v>10147.212220119189</v>
      </c>
      <c r="H332" s="36"/>
      <c r="I332" s="34">
        <v>139.589</v>
      </c>
      <c r="J332" s="34"/>
      <c r="K332" s="34">
        <f>I332+J332</f>
        <v>139.589</v>
      </c>
      <c r="L332" s="34">
        <f>47.8800721021218*K332</f>
        <v>6683.53138466308</v>
      </c>
      <c r="M332" s="34">
        <f>F332+L332</f>
        <v>16830.74360478227</v>
      </c>
      <c r="O332" s="4">
        <f>F332/M332</f>
        <v>0.6028974392572869</v>
      </c>
      <c r="P332" s="4">
        <f>L332/M332</f>
        <v>0.397102560742713</v>
      </c>
    </row>
    <row r="333" spans="1:16" ht="12.75">
      <c r="A333" s="45">
        <v>1437</v>
      </c>
      <c r="B333" s="20"/>
      <c r="C333" s="34">
        <v>177.062</v>
      </c>
      <c r="D333" s="34"/>
      <c r="E333" s="34">
        <f>C333+D333</f>
        <v>177.062</v>
      </c>
      <c r="F333" s="34">
        <f>4.63433805988442*E333</f>
        <v>820.5651655592552</v>
      </c>
      <c r="H333" s="36"/>
      <c r="I333" s="34">
        <v>118.272</v>
      </c>
      <c r="J333" s="34"/>
      <c r="K333" s="34">
        <f>I333+J333</f>
        <v>118.272</v>
      </c>
      <c r="L333" s="34">
        <f>47.8800721021218*K333</f>
        <v>5662.87188766215</v>
      </c>
      <c r="M333" s="34">
        <f>F333+L333</f>
        <v>6483.437053221405</v>
      </c>
      <c r="O333" s="4">
        <f>F333/M333</f>
        <v>0.1265632964156787</v>
      </c>
      <c r="P333" s="4">
        <f>L333/M333</f>
        <v>0.8734367035843212</v>
      </c>
    </row>
    <row r="334" spans="1:16" ht="12.75">
      <c r="A334" s="45">
        <v>1438</v>
      </c>
      <c r="B334" s="20"/>
      <c r="C334" s="34">
        <v>478.264</v>
      </c>
      <c r="D334" s="34"/>
      <c r="E334" s="34">
        <f>C334+D334</f>
        <v>478.264</v>
      </c>
      <c r="F334" s="34">
        <f>4.63433805988442*E334</f>
        <v>2216.437057872562</v>
      </c>
      <c r="H334" s="36"/>
      <c r="I334" s="34">
        <v>109.682</v>
      </c>
      <c r="J334" s="34"/>
      <c r="K334" s="34">
        <f>I334+J334</f>
        <v>109.682</v>
      </c>
      <c r="L334" s="34">
        <f>47.8800721021218*K334</f>
        <v>5251.582068304923</v>
      </c>
      <c r="M334" s="34">
        <f>F334+L334</f>
        <v>7468.019126177485</v>
      </c>
      <c r="O334" s="4">
        <f>F334/M334</f>
        <v>0.2967904902791871</v>
      </c>
      <c r="P334" s="4">
        <f>L334/M334</f>
        <v>0.703209509720813</v>
      </c>
    </row>
    <row r="335" spans="1:16" ht="12.75">
      <c r="A335" s="45">
        <v>1439</v>
      </c>
      <c r="B335" s="20"/>
      <c r="C335" s="34">
        <v>1142.522</v>
      </c>
      <c r="D335" s="34">
        <v>126.13000000000001</v>
      </c>
      <c r="E335" s="34">
        <f>C335+D335</f>
        <v>1268.652</v>
      </c>
      <c r="F335" s="34">
        <f>4.63433805988442*E335</f>
        <v>5879.362248348489</v>
      </c>
      <c r="H335" s="36"/>
      <c r="I335" s="34">
        <v>156.324</v>
      </c>
      <c r="J335" s="34"/>
      <c r="K335" s="34">
        <f>I335+J335</f>
        <v>156.324</v>
      </c>
      <c r="L335" s="34">
        <f>47.8800721021218*K335</f>
        <v>7484.804391292089</v>
      </c>
      <c r="M335" s="34">
        <f>F335+L335</f>
        <v>13364.166639640578</v>
      </c>
      <c r="O335" s="4">
        <f>F335/M335</f>
        <v>0.43993482024604647</v>
      </c>
      <c r="P335" s="4">
        <f>L335/M335</f>
        <v>0.5600651797539535</v>
      </c>
    </row>
    <row r="336" spans="1:16" ht="12.75">
      <c r="A336" s="45">
        <v>1440</v>
      </c>
      <c r="B336" s="20"/>
      <c r="C336" s="34">
        <v>771.575</v>
      </c>
      <c r="D336" s="34"/>
      <c r="E336" s="34">
        <f>C336+D336</f>
        <v>771.575</v>
      </c>
      <c r="F336" s="34">
        <f>4.63433805988442*E336</f>
        <v>3575.7393885553215</v>
      </c>
      <c r="H336" s="36"/>
      <c r="I336" s="34">
        <v>137.504</v>
      </c>
      <c r="J336" s="34"/>
      <c r="K336" s="34">
        <f>I336+J336</f>
        <v>137.504</v>
      </c>
      <c r="L336" s="34">
        <f>47.8800721021218*K336</f>
        <v>6583.701434330155</v>
      </c>
      <c r="M336" s="34">
        <f>F336+L336</f>
        <v>10159.440822885477</v>
      </c>
      <c r="O336" s="4">
        <f>F336/M336</f>
        <v>0.3519622241905773</v>
      </c>
      <c r="P336" s="4">
        <f>L336/M336</f>
        <v>0.6480377758094227</v>
      </c>
    </row>
    <row r="337" spans="1:16" ht="12.75">
      <c r="A337" s="45"/>
      <c r="B337" s="20"/>
      <c r="C337" s="36"/>
      <c r="D337" s="36"/>
      <c r="E337" s="36"/>
      <c r="F337" s="36"/>
      <c r="H337" s="36"/>
      <c r="I337" s="36"/>
      <c r="J337" s="36"/>
      <c r="K337" s="36"/>
      <c r="L337" s="36"/>
      <c r="M337" s="36"/>
      <c r="O337" s="8"/>
      <c r="P337" s="8"/>
    </row>
    <row r="338" spans="1:16" ht="12.75">
      <c r="A338" s="45" t="s">
        <v>71</v>
      </c>
      <c r="B338" s="20"/>
      <c r="C338" s="36">
        <f>SUM(C332:C337)/5</f>
        <v>532.5856</v>
      </c>
      <c r="D338" s="36">
        <f>SUM(D332:D337)/5</f>
        <v>444.43919999999997</v>
      </c>
      <c r="E338" s="36">
        <f>SUM(E332:E337)/5</f>
        <v>977.0247999999999</v>
      </c>
      <c r="F338" s="36">
        <f>SUM(F332:F337)/5</f>
        <v>4527.863216090963</v>
      </c>
      <c r="H338" s="36"/>
      <c r="I338" s="36">
        <f>SUM(I332:I337)/5</f>
        <v>132.2742</v>
      </c>
      <c r="J338" s="36">
        <f>SUM(J332:J337)/5</f>
        <v>0</v>
      </c>
      <c r="K338" s="36">
        <f>SUM(K332:K337)/5</f>
        <v>132.2742</v>
      </c>
      <c r="L338" s="36">
        <f>SUM(L332:L337)/5</f>
        <v>6333.298233250479</v>
      </c>
      <c r="M338" s="36">
        <f>SUM(M332:M337)/5</f>
        <v>10861.161449341444</v>
      </c>
      <c r="O338" s="4">
        <f>F338/M338</f>
        <v>0.41688572969012494</v>
      </c>
      <c r="P338" s="4">
        <f>L338/M338</f>
        <v>0.5831142703098748</v>
      </c>
    </row>
    <row r="339" spans="1:16" ht="12.75">
      <c r="A339" s="45"/>
      <c r="B339" s="20"/>
      <c r="C339" s="36"/>
      <c r="D339" s="36"/>
      <c r="E339" s="36"/>
      <c r="F339" s="36"/>
      <c r="H339" s="36"/>
      <c r="I339" s="36"/>
      <c r="J339" s="36"/>
      <c r="K339" s="36"/>
      <c r="L339" s="36"/>
      <c r="M339" s="36"/>
      <c r="O339" s="8"/>
      <c r="P339" s="8"/>
    </row>
    <row r="340" spans="1:16" ht="12.75">
      <c r="A340" s="45">
        <v>1441</v>
      </c>
      <c r="B340" s="20"/>
      <c r="C340" s="34">
        <v>396.363</v>
      </c>
      <c r="D340" s="34"/>
      <c r="E340" s="34">
        <f>C340+D340</f>
        <v>396.363</v>
      </c>
      <c r="F340" s="34">
        <f>4.63433805988442*E340</f>
        <v>1836.8801364299682</v>
      </c>
      <c r="H340" s="36"/>
      <c r="I340" s="34">
        <v>116.686</v>
      </c>
      <c r="J340" s="34"/>
      <c r="K340" s="34">
        <f>I340+J340</f>
        <v>116.686</v>
      </c>
      <c r="L340" s="34">
        <f>47.8800721021218*K340</f>
        <v>5586.934093308185</v>
      </c>
      <c r="M340" s="34">
        <f>F340+L340</f>
        <v>7423.814229738153</v>
      </c>
      <c r="O340" s="4">
        <f>F340/M340</f>
        <v>0.24743077878644024</v>
      </c>
      <c r="P340" s="4">
        <f>L340/M340</f>
        <v>0.7525692212135597</v>
      </c>
    </row>
    <row r="341" spans="1:16" ht="12.75">
      <c r="A341" s="45">
        <v>1442</v>
      </c>
      <c r="B341" s="20"/>
      <c r="C341" s="34">
        <v>69.825</v>
      </c>
      <c r="D341" s="34"/>
      <c r="E341" s="34">
        <f>C341+D341</f>
        <v>69.825</v>
      </c>
      <c r="F341" s="34">
        <f>4.63433805988442*E341</f>
        <v>323.5926550314296</v>
      </c>
      <c r="H341" s="36"/>
      <c r="I341" s="34">
        <v>97.985</v>
      </c>
      <c r="J341" s="34"/>
      <c r="K341" s="34">
        <f>I341+J341</f>
        <v>97.985</v>
      </c>
      <c r="L341" s="34">
        <f>47.8800721021218*K341</f>
        <v>4691.528864926405</v>
      </c>
      <c r="M341" s="34">
        <f>F341+L341</f>
        <v>5015.121519957835</v>
      </c>
      <c r="O341" s="4">
        <f>F341/M341</f>
        <v>0.06452339265233802</v>
      </c>
      <c r="P341" s="4">
        <f>L341/M341</f>
        <v>0.9354766073476619</v>
      </c>
    </row>
    <row r="342" spans="1:16" ht="12.75">
      <c r="A342" s="45">
        <v>1443</v>
      </c>
      <c r="B342" s="20"/>
      <c r="C342" s="34">
        <v>69.825</v>
      </c>
      <c r="D342" s="34"/>
      <c r="E342" s="34">
        <f>C342+D342</f>
        <v>69.825</v>
      </c>
      <c r="F342" s="34">
        <f>4.63433805988442*E342</f>
        <v>323.5926550314296</v>
      </c>
      <c r="H342" s="36"/>
      <c r="I342" s="34">
        <v>97.985</v>
      </c>
      <c r="J342" s="34"/>
      <c r="K342" s="34">
        <f>I342+J342</f>
        <v>97.985</v>
      </c>
      <c r="L342" s="34">
        <f>47.8800721021218*K342</f>
        <v>4691.528864926405</v>
      </c>
      <c r="M342" s="34">
        <f>F342+L342</f>
        <v>5015.121519957835</v>
      </c>
      <c r="O342" s="4">
        <f>F342/M342</f>
        <v>0.06452339265233802</v>
      </c>
      <c r="P342" s="4">
        <f>L342/M342</f>
        <v>0.9354766073476619</v>
      </c>
    </row>
    <row r="343" spans="1:16" ht="12.75">
      <c r="A343" s="45">
        <v>1444</v>
      </c>
      <c r="B343" s="20"/>
      <c r="C343" s="34">
        <v>50.405</v>
      </c>
      <c r="D343" s="34"/>
      <c r="E343" s="34">
        <f>C343+D343</f>
        <v>50.405</v>
      </c>
      <c r="F343" s="34">
        <f>4.63433805988442*E343</f>
        <v>233.59380990847419</v>
      </c>
      <c r="H343" s="36"/>
      <c r="I343" s="34">
        <v>84.839</v>
      </c>
      <c r="J343" s="34"/>
      <c r="K343" s="34">
        <f>I343+J343</f>
        <v>84.839</v>
      </c>
      <c r="L343" s="34">
        <f>47.8800721021218*K343</f>
        <v>4062.0974370719114</v>
      </c>
      <c r="M343" s="34">
        <f>F343+L343</f>
        <v>4295.691246980386</v>
      </c>
      <c r="O343" s="4">
        <f>F343/M343</f>
        <v>0.05437863116272071</v>
      </c>
      <c r="P343" s="4">
        <f>L343/M343</f>
        <v>0.9456213688372793</v>
      </c>
    </row>
    <row r="344" spans="1:16" ht="12.75">
      <c r="A344" s="45">
        <v>1445</v>
      </c>
      <c r="B344" s="20"/>
      <c r="C344" s="34">
        <v>67.081</v>
      </c>
      <c r="D344" s="34"/>
      <c r="E344" s="34">
        <f>C344+D344</f>
        <v>67.081</v>
      </c>
      <c r="F344" s="34">
        <f>4.63433805988442*E344</f>
        <v>310.8760313951068</v>
      </c>
      <c r="H344" s="36"/>
      <c r="I344" s="34">
        <v>56.396</v>
      </c>
      <c r="J344" s="34"/>
      <c r="K344" s="34">
        <f>I344+J344</f>
        <v>56.396</v>
      </c>
      <c r="L344" s="34">
        <f>47.8800721021218*K344</f>
        <v>2700.2445462712612</v>
      </c>
      <c r="M344" s="34">
        <f>F344+L344</f>
        <v>3011.1205776663683</v>
      </c>
      <c r="O344" s="4">
        <f>F344/M344</f>
        <v>0.10324263787404923</v>
      </c>
      <c r="P344" s="4">
        <f>L344/M344</f>
        <v>0.8967573621259507</v>
      </c>
    </row>
    <row r="345" spans="1:16" ht="12.75">
      <c r="A345" s="45"/>
      <c r="B345" s="20"/>
      <c r="C345" s="36"/>
      <c r="D345" s="36"/>
      <c r="E345" s="36"/>
      <c r="F345" s="36"/>
      <c r="H345" s="36"/>
      <c r="I345" s="36"/>
      <c r="J345" s="36"/>
      <c r="K345" s="36"/>
      <c r="L345" s="36"/>
      <c r="M345" s="36"/>
      <c r="O345" s="8"/>
      <c r="P345" s="8"/>
    </row>
    <row r="346" spans="1:16" ht="12.75">
      <c r="A346" s="45" t="s">
        <v>73</v>
      </c>
      <c r="B346" s="20"/>
      <c r="C346" s="36">
        <f>SUM(C340:C345)/5</f>
        <v>130.6998</v>
      </c>
      <c r="D346" s="36">
        <f>SUM(D340:D345)/5</f>
        <v>0</v>
      </c>
      <c r="E346" s="36">
        <f>SUM(E340:E345)/5</f>
        <v>130.6998</v>
      </c>
      <c r="F346" s="36">
        <f>SUM(F340:F345)/5</f>
        <v>605.7070575592818</v>
      </c>
      <c r="H346" s="36"/>
      <c r="I346" s="36">
        <f>SUM(I340:I345)/5</f>
        <v>90.7782</v>
      </c>
      <c r="J346" s="36">
        <f>SUM(J340:J345)/5</f>
        <v>0</v>
      </c>
      <c r="K346" s="36">
        <f>SUM(K340:K345)/5</f>
        <v>90.7782</v>
      </c>
      <c r="L346" s="36">
        <f>SUM(L340:L345)/5</f>
        <v>4346.466761300833</v>
      </c>
      <c r="M346" s="36">
        <f>SUM(M340:M345)/5</f>
        <v>4952.173818860116</v>
      </c>
      <c r="O346" s="4">
        <f>F346/M346</f>
        <v>0.12231134845317336</v>
      </c>
      <c r="P346" s="4">
        <f>L346/M346</f>
        <v>0.8776886515468265</v>
      </c>
    </row>
    <row r="347" spans="1:16" ht="12.75">
      <c r="A347" s="45"/>
      <c r="B347" s="20"/>
      <c r="C347" s="36"/>
      <c r="D347" s="36"/>
      <c r="E347" s="36"/>
      <c r="F347" s="36"/>
      <c r="H347" s="36"/>
      <c r="I347" s="36"/>
      <c r="J347" s="36"/>
      <c r="K347" s="36"/>
      <c r="L347" s="36"/>
      <c r="M347" s="36"/>
      <c r="O347" s="8"/>
      <c r="P347" s="8"/>
    </row>
    <row r="348" spans="1:16" ht="12.75">
      <c r="A348" s="45">
        <v>1446</v>
      </c>
      <c r="B348" s="20"/>
      <c r="C348" s="34">
        <v>439.566</v>
      </c>
      <c r="D348" s="34"/>
      <c r="E348" s="34">
        <f>C348+D348</f>
        <v>439.566</v>
      </c>
      <c r="F348" s="34">
        <f>4.63433805988442*E348</f>
        <v>2037.0974436311546</v>
      </c>
      <c r="H348" s="36"/>
      <c r="I348" s="34">
        <v>56.042</v>
      </c>
      <c r="J348" s="34"/>
      <c r="K348" s="34">
        <f>I348+J348</f>
        <v>56.042</v>
      </c>
      <c r="L348" s="34">
        <f>47.8800721021218*K348</f>
        <v>2683.29500074711</v>
      </c>
      <c r="M348" s="34">
        <f>F348+L348</f>
        <v>4720.392444378264</v>
      </c>
      <c r="O348" s="4">
        <f>F348/M348</f>
        <v>0.43155256001166364</v>
      </c>
      <c r="P348" s="4">
        <f>L348/M348</f>
        <v>0.5684474399883364</v>
      </c>
    </row>
    <row r="349" spans="1:16" ht="12.75">
      <c r="A349" s="45">
        <v>1447</v>
      </c>
      <c r="B349" s="20"/>
      <c r="C349" s="34">
        <v>398.999</v>
      </c>
      <c r="D349" s="34"/>
      <c r="E349" s="34">
        <f>C349+D349</f>
        <v>398.999</v>
      </c>
      <c r="F349" s="34">
        <f>4.63433805988442*E349</f>
        <v>1849.0962515558238</v>
      </c>
      <c r="H349" s="36"/>
      <c r="I349" s="34">
        <v>47.595</v>
      </c>
      <c r="J349" s="34"/>
      <c r="K349" s="34">
        <f>I349+J349</f>
        <v>47.595</v>
      </c>
      <c r="L349" s="34">
        <f>47.8800721021218*K349</f>
        <v>2278.8520317004873</v>
      </c>
      <c r="M349" s="34">
        <f>F349+L349</f>
        <v>4127.948283256311</v>
      </c>
      <c r="O349" s="4">
        <f>F349/M349</f>
        <v>0.44794559540779266</v>
      </c>
      <c r="P349" s="4">
        <f>L349/M349</f>
        <v>0.5520544045922073</v>
      </c>
    </row>
    <row r="350" spans="1:16" ht="12.75">
      <c r="A350" s="45">
        <v>1448</v>
      </c>
      <c r="B350" s="20"/>
      <c r="C350" s="34">
        <v>67.743</v>
      </c>
      <c r="D350" s="34"/>
      <c r="E350" s="34">
        <f>C350+D350</f>
        <v>67.743</v>
      </c>
      <c r="F350" s="34">
        <f>4.63433805988442*E350</f>
        <v>313.9439631907502</v>
      </c>
      <c r="H350" s="36"/>
      <c r="I350" s="34">
        <v>37.113</v>
      </c>
      <c r="J350" s="34"/>
      <c r="K350" s="34">
        <f>I350+J350</f>
        <v>37.113</v>
      </c>
      <c r="L350" s="34">
        <f>47.8800721021218*K350</f>
        <v>1776.9731159260464</v>
      </c>
      <c r="M350" s="34">
        <f>F350+L350</f>
        <v>2090.9170791167967</v>
      </c>
      <c r="O350" s="4">
        <f>F350/M350</f>
        <v>0.15014653920343896</v>
      </c>
      <c r="P350" s="4">
        <f>L350/M350</f>
        <v>0.849853460796561</v>
      </c>
    </row>
    <row r="351" spans="1:16" ht="12.75">
      <c r="A351" s="45">
        <v>1449</v>
      </c>
      <c r="B351" s="20"/>
      <c r="C351" s="34">
        <v>175.173</v>
      </c>
      <c r="D351" s="34"/>
      <c r="E351" s="34">
        <f>C351+D351</f>
        <v>175.173</v>
      </c>
      <c r="F351" s="34">
        <f>4.63433805988442*E351</f>
        <v>811.8109009641335</v>
      </c>
      <c r="H351" s="36"/>
      <c r="I351" s="34">
        <v>55.026</v>
      </c>
      <c r="J351" s="34"/>
      <c r="K351" s="34">
        <f>I351+J351</f>
        <v>55.026</v>
      </c>
      <c r="L351" s="34">
        <f>47.8800721021218*K351</f>
        <v>2634.6488474913544</v>
      </c>
      <c r="M351" s="34">
        <f>F351+L351</f>
        <v>3446.459748455488</v>
      </c>
      <c r="O351" s="4">
        <f>F351/M351</f>
        <v>0.23554921868097897</v>
      </c>
      <c r="P351" s="4">
        <f>L351/M351</f>
        <v>0.764450781319021</v>
      </c>
    </row>
    <row r="352" spans="1:16" ht="12.75">
      <c r="A352" s="45">
        <v>1450</v>
      </c>
      <c r="B352" s="20"/>
      <c r="C352" s="34">
        <v>1505.384</v>
      </c>
      <c r="D352" s="34"/>
      <c r="E352" s="34">
        <f>C352+D352</f>
        <v>1505.384</v>
      </c>
      <c r="F352" s="34">
        <f>4.63433805988442*E352</f>
        <v>6976.458365941047</v>
      </c>
      <c r="H352" s="36"/>
      <c r="I352" s="34">
        <v>125.905</v>
      </c>
      <c r="J352" s="34"/>
      <c r="K352" s="34">
        <f>I352+J352</f>
        <v>125.905</v>
      </c>
      <c r="L352" s="34">
        <f>47.8800721021218*K352</f>
        <v>6028.340478017645</v>
      </c>
      <c r="M352" s="34">
        <f>F352+L352</f>
        <v>13004.798843958692</v>
      </c>
      <c r="O352" s="4">
        <f>F352/M352</f>
        <v>0.5364526164264296</v>
      </c>
      <c r="P352" s="4">
        <f>L352/M352</f>
        <v>0.46354738357357045</v>
      </c>
    </row>
    <row r="353" spans="1:16" ht="12.75">
      <c r="A353" s="45"/>
      <c r="B353" s="20"/>
      <c r="C353" s="36"/>
      <c r="D353" s="36"/>
      <c r="E353" s="36"/>
      <c r="F353" s="36"/>
      <c r="H353" s="36"/>
      <c r="I353" s="36"/>
      <c r="J353" s="36"/>
      <c r="K353" s="36"/>
      <c r="L353" s="36"/>
      <c r="M353" s="36"/>
      <c r="O353" s="8"/>
      <c r="P353" s="8"/>
    </row>
    <row r="354" spans="1:16" ht="12.75">
      <c r="A354" s="45" t="s">
        <v>74</v>
      </c>
      <c r="B354" s="20"/>
      <c r="C354" s="36">
        <f>SUM(C348:C353)/5</f>
        <v>517.3729999999999</v>
      </c>
      <c r="D354" s="36">
        <f>SUM(D348:D353)/5</f>
        <v>0</v>
      </c>
      <c r="E354" s="36">
        <f>SUM(E348:E353)/5</f>
        <v>517.3729999999999</v>
      </c>
      <c r="F354" s="36">
        <f>SUM(F348:F353)/5</f>
        <v>2397.681385056582</v>
      </c>
      <c r="H354" s="36"/>
      <c r="I354" s="36">
        <f>SUM(I348:I353)/5</f>
        <v>64.3362</v>
      </c>
      <c r="J354" s="36">
        <f>SUM(J348:J353)/5</f>
        <v>0</v>
      </c>
      <c r="K354" s="36">
        <f>SUM(K348:K353)/5</f>
        <v>64.3362</v>
      </c>
      <c r="L354" s="36">
        <f>SUM(L348:L353)/5</f>
        <v>3080.4218947765285</v>
      </c>
      <c r="M354" s="36">
        <f>SUM(M348:M353)/5</f>
        <v>5478.10327983311</v>
      </c>
      <c r="O354" s="4">
        <f>F354/M354</f>
        <v>0.4376845894606111</v>
      </c>
      <c r="P354" s="4">
        <f>L354/M354</f>
        <v>0.5623154105393889</v>
      </c>
    </row>
    <row r="355" spans="1:16" ht="12.75">
      <c r="A355" s="45"/>
      <c r="B355" s="20"/>
      <c r="C355" s="36"/>
      <c r="D355" s="36"/>
      <c r="E355" s="36"/>
      <c r="F355" s="36"/>
      <c r="H355" s="36"/>
      <c r="I355" s="36"/>
      <c r="J355" s="36"/>
      <c r="K355" s="36"/>
      <c r="L355" s="36"/>
      <c r="M355" s="36"/>
      <c r="O355" s="8"/>
      <c r="P355" s="8"/>
    </row>
    <row r="356" spans="1:16" ht="12.75">
      <c r="A356" s="45">
        <v>1451</v>
      </c>
      <c r="B356" s="20"/>
      <c r="C356" s="34">
        <v>2290.029</v>
      </c>
      <c r="D356" s="34"/>
      <c r="E356" s="34">
        <f>C356+D356</f>
        <v>2290.029</v>
      </c>
      <c r="F356" s="34">
        <f>4.63433805988442*E356</f>
        <v>10612.768552939058</v>
      </c>
      <c r="H356" s="36"/>
      <c r="I356" s="34">
        <v>94.749</v>
      </c>
      <c r="J356" s="34"/>
      <c r="K356" s="34">
        <f>I356+J356</f>
        <v>94.749</v>
      </c>
      <c r="L356" s="34">
        <f>47.8800721021218*K356</f>
        <v>4536.588951603938</v>
      </c>
      <c r="M356" s="34">
        <f>F356+L356</f>
        <v>15149.357504542997</v>
      </c>
      <c r="O356" s="4">
        <f>F356/M356</f>
        <v>0.7005424850365104</v>
      </c>
      <c r="P356" s="4">
        <f>L356/M356</f>
        <v>0.2994575149634896</v>
      </c>
    </row>
    <row r="357" spans="1:16" ht="12.75">
      <c r="A357" s="45">
        <v>1452</v>
      </c>
      <c r="B357" s="20"/>
      <c r="C357" s="34">
        <v>1847.158</v>
      </c>
      <c r="D357" s="34"/>
      <c r="E357" s="34">
        <f>C357+D357</f>
        <v>1847.158</v>
      </c>
      <c r="F357" s="34">
        <f>4.63433805988442*E357</f>
        <v>8560.354622019984</v>
      </c>
      <c r="H357" s="36"/>
      <c r="I357" s="34">
        <v>94.181</v>
      </c>
      <c r="J357" s="34"/>
      <c r="K357" s="34">
        <f>I357+J357</f>
        <v>94.181</v>
      </c>
      <c r="L357" s="34">
        <f>47.8800721021218*K357</f>
        <v>4509.393070649933</v>
      </c>
      <c r="M357" s="34">
        <f>F357+L357</f>
        <v>13069.747692669916</v>
      </c>
      <c r="O357" s="4">
        <f>F357/M357</f>
        <v>0.654974741924131</v>
      </c>
      <c r="P357" s="4">
        <f>L357/M357</f>
        <v>0.34502525807586915</v>
      </c>
    </row>
    <row r="358" spans="1:16" ht="12.75">
      <c r="A358" s="45">
        <v>1453</v>
      </c>
      <c r="B358" s="20"/>
      <c r="C358" s="34">
        <v>1230.161</v>
      </c>
      <c r="D358" s="34"/>
      <c r="E358" s="34">
        <f>C358+D358</f>
        <v>1230.161</v>
      </c>
      <c r="F358" s="34">
        <f>4.63433805988442*E358</f>
        <v>5700.981942085478</v>
      </c>
      <c r="H358" s="36"/>
      <c r="I358" s="34">
        <v>67.147</v>
      </c>
      <c r="J358" s="34"/>
      <c r="K358" s="34">
        <f>I358+J358</f>
        <v>67.147</v>
      </c>
      <c r="L358" s="34">
        <f>47.8800721021218*K358</f>
        <v>3215.0032014411727</v>
      </c>
      <c r="M358" s="34">
        <f>F358+L358</f>
        <v>8915.98514352665</v>
      </c>
      <c r="O358" s="4">
        <f>F358/M358</f>
        <v>0.639411332602389</v>
      </c>
      <c r="P358" s="4">
        <f>L358/M358</f>
        <v>0.36058866739761103</v>
      </c>
    </row>
    <row r="359" spans="1:16" ht="12.75">
      <c r="A359" s="45">
        <v>1454</v>
      </c>
      <c r="B359" s="20"/>
      <c r="C359" s="34">
        <v>1020.099</v>
      </c>
      <c r="D359" s="34"/>
      <c r="E359" s="34">
        <f>C359+D359</f>
        <v>1020.099</v>
      </c>
      <c r="F359" s="34">
        <f>4.63433805988442*E359</f>
        <v>4727.483620550037</v>
      </c>
      <c r="H359" s="36"/>
      <c r="I359" s="34">
        <v>34.635</v>
      </c>
      <c r="J359" s="34"/>
      <c r="K359" s="34">
        <f>I359+J359</f>
        <v>34.635</v>
      </c>
      <c r="L359" s="34">
        <f>47.8800721021218*K359</f>
        <v>1658.3262972569885</v>
      </c>
      <c r="M359" s="34">
        <f>F359+L359</f>
        <v>6385.809917807025</v>
      </c>
      <c r="O359" s="4">
        <f>F359/M359</f>
        <v>0.7403107329216463</v>
      </c>
      <c r="P359" s="4">
        <f>L359/M359</f>
        <v>0.2596892670783537</v>
      </c>
    </row>
    <row r="360" spans="1:16" ht="12.75">
      <c r="A360" s="45">
        <v>1455</v>
      </c>
      <c r="B360" s="20"/>
      <c r="C360" s="34">
        <v>915.737</v>
      </c>
      <c r="D360" s="34"/>
      <c r="E360" s="34">
        <f>C360+D360</f>
        <v>915.737</v>
      </c>
      <c r="F360" s="34">
        <f>4.63433805988442*E360</f>
        <v>4243.8348319443785</v>
      </c>
      <c r="H360" s="36"/>
      <c r="I360" s="34">
        <v>26.918</v>
      </c>
      <c r="J360" s="34"/>
      <c r="K360" s="34">
        <f>I360+J360</f>
        <v>26.918</v>
      </c>
      <c r="L360" s="34">
        <f>47.8800721021218*K360</f>
        <v>1288.8357808449146</v>
      </c>
      <c r="M360" s="34">
        <f>F360+L360</f>
        <v>5532.670612789293</v>
      </c>
      <c r="O360" s="4">
        <f>F360/M360</f>
        <v>0.767049970792469</v>
      </c>
      <c r="P360" s="4">
        <f>L360/M360</f>
        <v>0.23295002920753105</v>
      </c>
    </row>
    <row r="361" spans="1:16" ht="12.75">
      <c r="A361" s="45"/>
      <c r="B361" s="20"/>
      <c r="C361" s="36"/>
      <c r="D361" s="36"/>
      <c r="E361" s="36"/>
      <c r="F361" s="36"/>
      <c r="H361" s="36"/>
      <c r="I361" s="36"/>
      <c r="J361" s="36"/>
      <c r="K361" s="36"/>
      <c r="L361" s="36"/>
      <c r="M361" s="36"/>
      <c r="O361" s="8"/>
      <c r="P361" s="8"/>
    </row>
    <row r="362" spans="1:16" ht="12.75">
      <c r="A362" s="45" t="s">
        <v>76</v>
      </c>
      <c r="B362" s="20"/>
      <c r="C362" s="36">
        <f>SUM(C356:C361)/5</f>
        <v>1460.6368</v>
      </c>
      <c r="D362" s="36">
        <f>SUM(D356:D361)/5</f>
        <v>0</v>
      </c>
      <c r="E362" s="36">
        <f>SUM(E356:E361)/5</f>
        <v>1460.6368</v>
      </c>
      <c r="F362" s="36">
        <f>SUM(F356:F361)/5</f>
        <v>6769.084713907787</v>
      </c>
      <c r="H362" s="36"/>
      <c r="I362" s="36">
        <f>SUM(I356:I361)/5</f>
        <v>63.525999999999996</v>
      </c>
      <c r="J362" s="36">
        <f>SUM(J356:J361)/5</f>
        <v>0</v>
      </c>
      <c r="K362" s="36">
        <f>SUM(K356:K361)/5</f>
        <v>63.525999999999996</v>
      </c>
      <c r="L362" s="36">
        <f>SUM(L356:L361)/5</f>
        <v>3041.629460359389</v>
      </c>
      <c r="M362" s="36">
        <f>SUM(M356:M361)/5</f>
        <v>9810.714174267177</v>
      </c>
      <c r="O362" s="4">
        <f>F362/M362</f>
        <v>0.6899685989897276</v>
      </c>
      <c r="P362" s="4">
        <f>L362/M362</f>
        <v>0.31003140101027227</v>
      </c>
    </row>
    <row r="363" spans="1:16" ht="12.75">
      <c r="A363" s="45"/>
      <c r="B363" s="20"/>
      <c r="C363" s="36"/>
      <c r="D363" s="36"/>
      <c r="E363" s="36"/>
      <c r="F363" s="36"/>
      <c r="H363" s="36"/>
      <c r="I363" s="36"/>
      <c r="J363" s="36"/>
      <c r="K363" s="36"/>
      <c r="L363" s="36"/>
      <c r="M363" s="36"/>
      <c r="O363" s="8"/>
      <c r="P363" s="8"/>
    </row>
    <row r="364" spans="1:16" ht="12.75">
      <c r="A364" s="45">
        <v>1456</v>
      </c>
      <c r="B364" s="20"/>
      <c r="C364" s="34">
        <v>1177.013</v>
      </c>
      <c r="D364" s="34"/>
      <c r="E364" s="34">
        <f>C364+D364</f>
        <v>1177.013</v>
      </c>
      <c r="F364" s="34">
        <f>4.63433805988442*E364</f>
        <v>5454.67614287874</v>
      </c>
      <c r="H364" s="36"/>
      <c r="I364" s="34">
        <v>28.279</v>
      </c>
      <c r="J364" s="34"/>
      <c r="K364" s="34">
        <f>I364+J364</f>
        <v>28.279</v>
      </c>
      <c r="L364" s="34">
        <f>47.8800721021218*K364</f>
        <v>1354.0005589759023</v>
      </c>
      <c r="M364" s="34">
        <f>F364+L364</f>
        <v>6808.6767018546425</v>
      </c>
      <c r="O364" s="4">
        <f>F364/M364</f>
        <v>0.8011360183092435</v>
      </c>
      <c r="P364" s="4">
        <f>L364/M364</f>
        <v>0.19886398169075656</v>
      </c>
    </row>
    <row r="365" spans="1:16" ht="12.75">
      <c r="A365" s="45">
        <v>1457</v>
      </c>
      <c r="B365" s="20"/>
      <c r="C365" s="34">
        <v>1429.722</v>
      </c>
      <c r="D365" s="34"/>
      <c r="E365" s="34">
        <f>C365+D365</f>
        <v>1429.722</v>
      </c>
      <c r="F365" s="34">
        <f>4.63433805988442*E365</f>
        <v>6625.815079654072</v>
      </c>
      <c r="H365" s="36"/>
      <c r="I365" s="34">
        <v>29.595</v>
      </c>
      <c r="J365" s="34"/>
      <c r="K365" s="34">
        <f>I365+J365</f>
        <v>29.595</v>
      </c>
      <c r="L365" s="34">
        <f>47.8800721021218*K365</f>
        <v>1417.0107338622947</v>
      </c>
      <c r="M365" s="34">
        <f>F365+L365</f>
        <v>8042.825813516367</v>
      </c>
      <c r="O365" s="4">
        <f>F365/M365</f>
        <v>0.8238168068390915</v>
      </c>
      <c r="P365" s="4">
        <f>L365/M365</f>
        <v>0.17618319316090844</v>
      </c>
    </row>
    <row r="366" spans="1:16" ht="12.75">
      <c r="A366" s="45">
        <v>1458</v>
      </c>
      <c r="B366" s="20"/>
      <c r="C366" s="34">
        <v>1184.851</v>
      </c>
      <c r="D366" s="34"/>
      <c r="E366" s="34">
        <f>C366+D366</f>
        <v>1184.851</v>
      </c>
      <c r="F366" s="34">
        <f>4.63433805988442*E366</f>
        <v>5491.000084592115</v>
      </c>
      <c r="H366" s="36"/>
      <c r="I366" s="34">
        <v>29.53</v>
      </c>
      <c r="J366" s="34"/>
      <c r="K366" s="34">
        <f>I366+J366</f>
        <v>29.53</v>
      </c>
      <c r="L366" s="34">
        <f>47.8800721021218*K366</f>
        <v>1413.898529175657</v>
      </c>
      <c r="M366" s="34">
        <f>F366+L366</f>
        <v>6904.898613767772</v>
      </c>
      <c r="O366" s="4">
        <f>F366/M366</f>
        <v>0.7952325431170756</v>
      </c>
      <c r="P366" s="4">
        <f>L366/M366</f>
        <v>0.20476745688292441</v>
      </c>
    </row>
    <row r="367" spans="1:16" ht="12.75">
      <c r="A367" s="45">
        <v>1459</v>
      </c>
      <c r="B367" s="20"/>
      <c r="C367" s="34">
        <v>1004.405</v>
      </c>
      <c r="D367" s="34"/>
      <c r="E367" s="34">
        <f>C367+D367</f>
        <v>1004.405</v>
      </c>
      <c r="F367" s="34">
        <f>4.63433805988442*E367</f>
        <v>4654.752319038211</v>
      </c>
      <c r="H367" s="36"/>
      <c r="I367" s="34">
        <v>6.775</v>
      </c>
      <c r="J367" s="34"/>
      <c r="K367" s="34">
        <f>I367+J367</f>
        <v>6.775</v>
      </c>
      <c r="L367" s="34">
        <f>47.8800721021218*K367</f>
        <v>324.3874884918752</v>
      </c>
      <c r="M367" s="34">
        <f>F367+L367</f>
        <v>4979.139807530086</v>
      </c>
      <c r="O367" s="4">
        <f>F367/M367</f>
        <v>0.9348506969012408</v>
      </c>
      <c r="P367" s="4">
        <f>L367/M367</f>
        <v>0.06514930309875923</v>
      </c>
    </row>
    <row r="368" spans="1:16" ht="12.75">
      <c r="A368" s="45">
        <v>1460</v>
      </c>
      <c r="B368" s="20"/>
      <c r="C368" s="34">
        <v>2279.479</v>
      </c>
      <c r="D368" s="34"/>
      <c r="E368" s="34">
        <f>C368+D368</f>
        <v>2279.479</v>
      </c>
      <c r="F368" s="34">
        <f>4.63433805988442*E368</f>
        <v>10563.876286407276</v>
      </c>
      <c r="H368" s="36"/>
      <c r="I368" s="34">
        <v>39.414</v>
      </c>
      <c r="J368" s="34"/>
      <c r="K368" s="34">
        <f>I368+J368</f>
        <v>39.414</v>
      </c>
      <c r="L368" s="34">
        <f>47.8800721021218*K368</f>
        <v>1887.1451618330286</v>
      </c>
      <c r="M368" s="34">
        <f>F368+L368</f>
        <v>12451.021448240304</v>
      </c>
      <c r="O368" s="4">
        <f>F368/M368</f>
        <v>0.8484345103991658</v>
      </c>
      <c r="P368" s="4">
        <f>L368/M368</f>
        <v>0.15156548960083413</v>
      </c>
    </row>
    <row r="369" spans="1:16" ht="12.75">
      <c r="A369" s="45"/>
      <c r="B369" s="20"/>
      <c r="C369" s="36"/>
      <c r="D369" s="36"/>
      <c r="E369" s="36"/>
      <c r="F369" s="36"/>
      <c r="H369" s="36"/>
      <c r="I369" s="36"/>
      <c r="J369" s="36"/>
      <c r="K369" s="36"/>
      <c r="L369" s="36"/>
      <c r="M369" s="36"/>
      <c r="O369" s="8"/>
      <c r="P369" s="8"/>
    </row>
    <row r="370" spans="1:16" ht="12.75">
      <c r="A370" s="45" t="s">
        <v>78</v>
      </c>
      <c r="B370" s="20"/>
      <c r="C370" s="36">
        <f>SUM(C364:C369)/5</f>
        <v>1415.0939999999998</v>
      </c>
      <c r="D370" s="36">
        <f>SUM(D364:D369)/5</f>
        <v>0</v>
      </c>
      <c r="E370" s="36">
        <f>SUM(E364:E369)/5</f>
        <v>1415.0939999999998</v>
      </c>
      <c r="F370" s="36">
        <f>SUM(F364:F369)/5</f>
        <v>6558.023982514083</v>
      </c>
      <c r="H370" s="36"/>
      <c r="I370" s="36">
        <f>SUM(I364:I369)/5</f>
        <v>26.718600000000002</v>
      </c>
      <c r="J370" s="36">
        <f>SUM(J364:J369)/5</f>
        <v>0</v>
      </c>
      <c r="K370" s="36">
        <f>SUM(K364:K369)/5</f>
        <v>26.718600000000002</v>
      </c>
      <c r="L370" s="36">
        <f>SUM(L364:L369)/5</f>
        <v>1279.2884944677514</v>
      </c>
      <c r="M370" s="36">
        <f>SUM(M364:M369)/5</f>
        <v>7837.312476981834</v>
      </c>
      <c r="O370" s="4">
        <f>F370/M370</f>
        <v>0.8367694923195907</v>
      </c>
      <c r="P370" s="4">
        <f>L370/M370</f>
        <v>0.16323050768040936</v>
      </c>
    </row>
    <row r="371" spans="1:16" ht="12.75">
      <c r="A371" s="45"/>
      <c r="B371" s="20"/>
      <c r="C371" s="36"/>
      <c r="D371" s="36"/>
      <c r="E371" s="36"/>
      <c r="F371" s="36"/>
      <c r="H371" s="36"/>
      <c r="I371" s="36"/>
      <c r="J371" s="36"/>
      <c r="K371" s="36"/>
      <c r="L371" s="36"/>
      <c r="M371" s="36"/>
      <c r="O371" s="8"/>
      <c r="P371" s="8"/>
    </row>
    <row r="372" spans="1:16" ht="12.75">
      <c r="A372" s="45">
        <v>1461</v>
      </c>
      <c r="B372" s="20"/>
      <c r="C372" s="34">
        <v>2121.908</v>
      </c>
      <c r="D372" s="34"/>
      <c r="E372" s="34">
        <f>C372+D372</f>
        <v>2121.908</v>
      </c>
      <c r="F372" s="34">
        <f>4.63433805988442*E372</f>
        <v>9833.639003973229</v>
      </c>
      <c r="H372" s="36"/>
      <c r="I372" s="34">
        <v>45.786</v>
      </c>
      <c r="J372" s="34"/>
      <c r="K372" s="34">
        <f>I372+J372</f>
        <v>45.786</v>
      </c>
      <c r="L372" s="34">
        <f>47.8800721021218*K372</f>
        <v>2192.236981267749</v>
      </c>
      <c r="M372" s="34">
        <f>F372+L372</f>
        <v>12025.875985240978</v>
      </c>
      <c r="O372" s="4">
        <f>F372/M372</f>
        <v>0.8177066698543856</v>
      </c>
      <c r="P372" s="4">
        <f>L372/M372</f>
        <v>0.18229333014561436</v>
      </c>
    </row>
    <row r="373" spans="1:16" ht="12.75">
      <c r="A373" s="45">
        <v>1462</v>
      </c>
      <c r="B373" s="20"/>
      <c r="C373" s="34">
        <v>1964.338</v>
      </c>
      <c r="D373" s="34"/>
      <c r="E373" s="34">
        <f>C373+D373</f>
        <v>1964.338</v>
      </c>
      <c r="F373" s="34">
        <f>4.63433805988442*E373</f>
        <v>9103.406355877241</v>
      </c>
      <c r="H373" s="36"/>
      <c r="I373" s="34">
        <v>52.158</v>
      </c>
      <c r="J373" s="34"/>
      <c r="K373" s="34">
        <f>I373+J373</f>
        <v>52.158</v>
      </c>
      <c r="L373" s="34">
        <f>47.8800721021218*K373</f>
        <v>2497.328800702469</v>
      </c>
      <c r="M373" s="34">
        <f>F373+L373</f>
        <v>11600.73515657971</v>
      </c>
      <c r="O373" s="4">
        <f>F373/M373</f>
        <v>0.7847266774911215</v>
      </c>
      <c r="P373" s="4">
        <f>L373/M373</f>
        <v>0.21527332250887848</v>
      </c>
    </row>
    <row r="374" spans="1:16" ht="12.75">
      <c r="A374" s="45">
        <v>1463</v>
      </c>
      <c r="B374" s="20"/>
      <c r="C374" s="34">
        <v>1964.338</v>
      </c>
      <c r="D374" s="34"/>
      <c r="E374" s="34">
        <f>C374+D374</f>
        <v>1964.338</v>
      </c>
      <c r="F374" s="34">
        <f>4.63433805988442*E374</f>
        <v>9103.406355877241</v>
      </c>
      <c r="H374" s="36"/>
      <c r="I374" s="34">
        <v>52.158</v>
      </c>
      <c r="J374" s="34"/>
      <c r="K374" s="34">
        <f>I374+J374</f>
        <v>52.158</v>
      </c>
      <c r="L374" s="34">
        <f>47.8800721021218*K374</f>
        <v>2497.328800702469</v>
      </c>
      <c r="M374" s="34">
        <f>F374+L374</f>
        <v>11600.73515657971</v>
      </c>
      <c r="O374" s="4">
        <f>F374/M374</f>
        <v>0.7847266774911215</v>
      </c>
      <c r="P374" s="4">
        <f>L374/M374</f>
        <v>0.21527332250887848</v>
      </c>
    </row>
    <row r="375" spans="1:16" ht="12.75">
      <c r="A375" s="45">
        <v>1464</v>
      </c>
      <c r="B375" s="20"/>
      <c r="C375" s="34">
        <v>2517.054</v>
      </c>
      <c r="D375" s="34"/>
      <c r="E375" s="34">
        <f>C375+D375</f>
        <v>2517.054</v>
      </c>
      <c r="F375" s="34">
        <v>12494.901</v>
      </c>
      <c r="H375" s="36"/>
      <c r="I375" s="34">
        <v>220.325</v>
      </c>
      <c r="J375" s="34"/>
      <c r="K375" s="34">
        <f>I375+J375</f>
        <v>220.325</v>
      </c>
      <c r="L375" s="34">
        <f>(137.354*16.6666666667)+(495.598*20.83333333333)</f>
        <v>12614.191666669594</v>
      </c>
      <c r="M375" s="34">
        <f>F375+L375</f>
        <v>25109.092666669596</v>
      </c>
      <c r="O375" s="4">
        <f>F375/M375</f>
        <v>0.49762455242303627</v>
      </c>
      <c r="P375" s="4">
        <f>L375/M375</f>
        <v>0.5023754475769636</v>
      </c>
    </row>
    <row r="376" spans="1:16" ht="12.75">
      <c r="A376" s="45">
        <v>1465</v>
      </c>
      <c r="B376" s="20"/>
      <c r="C376" s="34">
        <v>8596.937</v>
      </c>
      <c r="D376" s="34"/>
      <c r="E376" s="34">
        <f>C376+D376</f>
        <v>8596.937</v>
      </c>
      <c r="F376" s="34">
        <f>5.79292257485553*E376</f>
        <v>49801.39042191078</v>
      </c>
      <c r="H376" s="36"/>
      <c r="I376" s="34">
        <v>2070.165</v>
      </c>
      <c r="J376" s="34"/>
      <c r="K376" s="34">
        <f>I376+J376</f>
        <v>2070.165</v>
      </c>
      <c r="L376" s="34">
        <f>(2973.59*20.8333333333333)+(2973.59*22.5)</f>
        <v>128855.56666666668</v>
      </c>
      <c r="M376" s="34">
        <f>F376+L376</f>
        <v>178656.95708857744</v>
      </c>
      <c r="O376" s="4">
        <f>F376/M376</f>
        <v>0.27875427430021343</v>
      </c>
      <c r="P376" s="4">
        <f>L376/M376</f>
        <v>0.7212457256997866</v>
      </c>
    </row>
    <row r="377" spans="1:16" ht="12.75">
      <c r="A377" s="45"/>
      <c r="B377" s="20"/>
      <c r="C377" s="36"/>
      <c r="D377" s="36"/>
      <c r="E377" s="36"/>
      <c r="F377" s="36"/>
      <c r="H377" s="36"/>
      <c r="I377" s="36"/>
      <c r="J377" s="36"/>
      <c r="K377" s="36"/>
      <c r="L377" s="36"/>
      <c r="M377" s="36"/>
      <c r="O377" s="8"/>
      <c r="P377" s="8"/>
    </row>
    <row r="378" spans="1:16" ht="12.75">
      <c r="A378" s="45" t="s">
        <v>80</v>
      </c>
      <c r="B378" s="20"/>
      <c r="C378" s="36">
        <f>SUM(C372:C377)/5</f>
        <v>3432.9149999999995</v>
      </c>
      <c r="D378" s="36">
        <f>SUM(D372:D377)/5</f>
        <v>0</v>
      </c>
      <c r="E378" s="36">
        <f>SUM(E372:E377)/5</f>
        <v>3432.9149999999995</v>
      </c>
      <c r="F378" s="36">
        <f>SUM(F372:F377)/5</f>
        <v>18067.3486275277</v>
      </c>
      <c r="H378" s="36"/>
      <c r="I378" s="36">
        <f>SUM(I372:I377)/5</f>
        <v>488.1184</v>
      </c>
      <c r="J378" s="36">
        <f>SUM(J372:J377)/5</f>
        <v>0</v>
      </c>
      <c r="K378" s="36">
        <f>SUM(K372:K377)/5</f>
        <v>488.1184</v>
      </c>
      <c r="L378" s="36">
        <f>SUM(L372:L377)/5</f>
        <v>29731.33058320179</v>
      </c>
      <c r="M378" s="36">
        <f>SUM(M372:M377)/5</f>
        <v>47798.67921072949</v>
      </c>
      <c r="O378" s="4">
        <f>F378/M378</f>
        <v>0.37798844917606167</v>
      </c>
      <c r="P378" s="4">
        <f>L378/M378</f>
        <v>0.6220115508239383</v>
      </c>
    </row>
    <row r="379" spans="1:16" ht="12.75">
      <c r="A379" s="45"/>
      <c r="B379" s="20"/>
      <c r="C379" s="36"/>
      <c r="D379" s="36"/>
      <c r="E379" s="36"/>
      <c r="F379" s="36"/>
      <c r="H379" s="36"/>
      <c r="I379" s="36"/>
      <c r="J379" s="36"/>
      <c r="K379" s="36"/>
      <c r="L379" s="36"/>
      <c r="M379" s="36"/>
      <c r="O379" s="8"/>
      <c r="P379" s="8"/>
    </row>
    <row r="380" spans="1:16" ht="12.75">
      <c r="A380" s="45">
        <v>1466</v>
      </c>
      <c r="B380" s="20"/>
      <c r="C380" s="34">
        <v>8596.937</v>
      </c>
      <c r="D380" s="34"/>
      <c r="E380" s="34">
        <f>C380+D380</f>
        <v>8596.937</v>
      </c>
      <c r="F380" s="34">
        <f>5.79292257485553*E380</f>
        <v>49801.39042191078</v>
      </c>
      <c r="H380" s="36"/>
      <c r="I380" s="34">
        <v>2070.165</v>
      </c>
      <c r="J380" s="34"/>
      <c r="K380" s="34">
        <f>I380+J380</f>
        <v>2070.165</v>
      </c>
      <c r="L380" s="34">
        <f>64.6380973378644*K380</f>
        <v>133811.52677544006</v>
      </c>
      <c r="M380" s="34">
        <f>F380+L380</f>
        <v>183612.91719735082</v>
      </c>
      <c r="O380" s="4">
        <f>F380/M380</f>
        <v>0.2712303207316469</v>
      </c>
      <c r="P380" s="4">
        <f>L380/M380</f>
        <v>0.7287696792683532</v>
      </c>
    </row>
    <row r="381" spans="1:16" ht="12.75">
      <c r="A381" s="45">
        <v>1467</v>
      </c>
      <c r="B381" s="20"/>
      <c r="C381" s="34">
        <v>5617</v>
      </c>
      <c r="D381" s="34"/>
      <c r="E381" s="34">
        <f>C381+D381</f>
        <v>5617</v>
      </c>
      <c r="F381" s="34">
        <f>5.79292257485553*E381</f>
        <v>32538.846102963515</v>
      </c>
      <c r="H381" s="36"/>
      <c r="I381" s="34">
        <v>1390.92</v>
      </c>
      <c r="J381" s="34"/>
      <c r="K381" s="34">
        <f>I381+J381</f>
        <v>1390.92</v>
      </c>
      <c r="L381" s="34">
        <f>64.6380973378644*K381</f>
        <v>89906.42234918235</v>
      </c>
      <c r="M381" s="34">
        <f>F381+L381</f>
        <v>122445.26845214586</v>
      </c>
      <c r="O381" s="4">
        <f>F381/M381</f>
        <v>0.265741963852857</v>
      </c>
      <c r="P381" s="4">
        <f>L381/M381</f>
        <v>0.734258036147143</v>
      </c>
    </row>
    <row r="382" spans="1:16" ht="12.75">
      <c r="A382" s="45">
        <v>1468</v>
      </c>
      <c r="B382" s="20"/>
      <c r="C382" s="34">
        <v>5617</v>
      </c>
      <c r="D382" s="34"/>
      <c r="E382" s="34">
        <f>C382+D382</f>
        <v>5617</v>
      </c>
      <c r="F382" s="34">
        <f>5.79292257485553*E382</f>
        <v>32538.846102963515</v>
      </c>
      <c r="H382" s="36"/>
      <c r="I382" s="34">
        <v>1390.92</v>
      </c>
      <c r="J382" s="34"/>
      <c r="K382" s="34">
        <f>I382+J382</f>
        <v>1390.92</v>
      </c>
      <c r="L382" s="34">
        <f>64.6380973378644*K382</f>
        <v>89906.42234918235</v>
      </c>
      <c r="M382" s="34">
        <f>F382+L382</f>
        <v>122445.26845214586</v>
      </c>
      <c r="O382" s="4">
        <f>F382/M382</f>
        <v>0.265741963852857</v>
      </c>
      <c r="P382" s="4">
        <f>L382/M382</f>
        <v>0.734258036147143</v>
      </c>
    </row>
    <row r="383" spans="1:16" ht="12.75">
      <c r="A383" s="45">
        <v>1469</v>
      </c>
      <c r="B383" s="20"/>
      <c r="C383" s="34">
        <v>2637.108</v>
      </c>
      <c r="D383" s="34"/>
      <c r="E383" s="34">
        <f>C383+D383</f>
        <v>2637.108</v>
      </c>
      <c r="F383" s="34">
        <f>5.79292257485553*E383</f>
        <v>15276.562465532119</v>
      </c>
      <c r="H383" s="36"/>
      <c r="I383" s="34">
        <v>711.674</v>
      </c>
      <c r="J383" s="34"/>
      <c r="K383" s="34">
        <f>I383+J383</f>
        <v>711.674</v>
      </c>
      <c r="L383" s="34">
        <f>64.6380973378644*K383</f>
        <v>46001.253284827304</v>
      </c>
      <c r="M383" s="34">
        <f>F383+L383</f>
        <v>61277.81575035943</v>
      </c>
      <c r="O383" s="4">
        <f>F383/M383</f>
        <v>0.24930004894050933</v>
      </c>
      <c r="P383" s="4">
        <f>L383/M383</f>
        <v>0.7506999510594906</v>
      </c>
    </row>
    <row r="384" spans="1:16" ht="12.75">
      <c r="A384" s="45">
        <v>1470</v>
      </c>
      <c r="B384" s="20"/>
      <c r="C384" s="34">
        <v>2610.567</v>
      </c>
      <c r="D384" s="34">
        <v>761.84</v>
      </c>
      <c r="E384" s="34">
        <f>C384+D384</f>
        <v>3372.407</v>
      </c>
      <c r="F384" s="34">
        <f>5.79292257485553*E384</f>
        <v>19536.092641900814</v>
      </c>
      <c r="H384" s="36"/>
      <c r="I384" s="34">
        <v>796.956</v>
      </c>
      <c r="J384" s="34">
        <v>80.148</v>
      </c>
      <c r="K384" s="34">
        <f>I384+J384</f>
        <v>877.104</v>
      </c>
      <c r="L384" s="34">
        <f>64.6380973378644*K384</f>
        <v>56694.33372743022</v>
      </c>
      <c r="M384" s="34">
        <f>F384+L384</f>
        <v>76230.42636933103</v>
      </c>
      <c r="O384" s="4">
        <f>F384/M384</f>
        <v>0.2562768381649845</v>
      </c>
      <c r="P384" s="4">
        <f>L384/M384</f>
        <v>0.7437231618350155</v>
      </c>
    </row>
    <row r="385" spans="1:16" ht="12.75">
      <c r="A385" s="45"/>
      <c r="B385" s="20"/>
      <c r="C385" s="36"/>
      <c r="D385" s="36"/>
      <c r="E385" s="36"/>
      <c r="F385" s="36"/>
      <c r="H385" s="36"/>
      <c r="I385" s="36"/>
      <c r="J385" s="36"/>
      <c r="K385" s="36"/>
      <c r="L385" s="36"/>
      <c r="M385" s="36"/>
      <c r="O385" s="8"/>
      <c r="P385" s="8"/>
    </row>
    <row r="386" spans="1:16" ht="12.75">
      <c r="A386" s="45" t="s">
        <v>83</v>
      </c>
      <c r="B386" s="20"/>
      <c r="C386" s="36">
        <f>SUM(C380:C385)/5</f>
        <v>5015.722400000001</v>
      </c>
      <c r="D386" s="36">
        <f>SUM(D380:D385)/5</f>
        <v>152.368</v>
      </c>
      <c r="E386" s="36">
        <f>SUM(E380:E385)/5</f>
        <v>5168.090399999999</v>
      </c>
      <c r="F386" s="36">
        <f>SUM(F380:F385)/5</f>
        <v>29938.347547054145</v>
      </c>
      <c r="H386" s="36"/>
      <c r="I386" s="36">
        <f>SUM(I380:I385)/5</f>
        <v>1272.127</v>
      </c>
      <c r="J386" s="36">
        <f>SUM(J380:J385)/5</f>
        <v>16.0296</v>
      </c>
      <c r="K386" s="36">
        <f>SUM(K380:K385)/5</f>
        <v>1288.1566</v>
      </c>
      <c r="L386" s="36">
        <f>SUM(L380:L385)/5</f>
        <v>83263.99169721245</v>
      </c>
      <c r="M386" s="36">
        <f>SUM(M380:M385)/5</f>
        <v>113202.3392442666</v>
      </c>
      <c r="O386" s="4">
        <f>F386/M386</f>
        <v>0.264467569724452</v>
      </c>
      <c r="P386" s="4">
        <f>L386/M386</f>
        <v>0.735532430275548</v>
      </c>
    </row>
    <row r="387" spans="1:16" ht="12.75">
      <c r="A387" s="45"/>
      <c r="B387" s="20"/>
      <c r="C387" s="36"/>
      <c r="D387" s="36"/>
      <c r="E387" s="36"/>
      <c r="F387" s="36"/>
      <c r="H387" s="36"/>
      <c r="I387" s="36"/>
      <c r="J387" s="36"/>
      <c r="K387" s="36"/>
      <c r="L387" s="36"/>
      <c r="M387" s="36"/>
      <c r="O387" s="8"/>
      <c r="P387" s="8"/>
    </row>
    <row r="388" spans="1:16" ht="12.75">
      <c r="A388" s="45">
        <v>1471</v>
      </c>
      <c r="B388" s="20"/>
      <c r="C388" s="34">
        <v>1213.064</v>
      </c>
      <c r="D388" s="34">
        <v>113.99</v>
      </c>
      <c r="E388" s="34">
        <f>C388+D388</f>
        <v>1327.054</v>
      </c>
      <c r="F388" s="34">
        <f>5.79292257485553*E388</f>
        <v>7687.521074652332</v>
      </c>
      <c r="H388" s="36"/>
      <c r="I388" s="34">
        <v>272.06</v>
      </c>
      <c r="J388" s="34">
        <v>16.745</v>
      </c>
      <c r="K388" s="34">
        <f>I388+J388</f>
        <v>288.805</v>
      </c>
      <c r="L388" s="34">
        <f>64.6380973378644*K388</f>
        <v>18667.805701661928</v>
      </c>
      <c r="M388" s="34">
        <f>F388+L388</f>
        <v>26355.326776314258</v>
      </c>
      <c r="O388" s="4">
        <f>F388/M388</f>
        <v>0.2916875643356154</v>
      </c>
      <c r="P388" s="4">
        <f>L388/M388</f>
        <v>0.7083124356643847</v>
      </c>
    </row>
    <row r="389" spans="1:16" ht="12.75">
      <c r="A389" s="45">
        <v>1472</v>
      </c>
      <c r="B389" s="20"/>
      <c r="C389" s="34">
        <v>2632.327</v>
      </c>
      <c r="D389" s="34">
        <v>204.087</v>
      </c>
      <c r="E389" s="34">
        <f>C389+D389</f>
        <v>2836.414</v>
      </c>
      <c r="F389" s="34">
        <f>5.79292257485553*E389</f>
        <v>16431.126692236274</v>
      </c>
      <c r="H389" s="36"/>
      <c r="I389" s="34">
        <v>590.365</v>
      </c>
      <c r="J389" s="34">
        <v>30.295</v>
      </c>
      <c r="K389" s="34">
        <f>I389+J389</f>
        <v>620.66</v>
      </c>
      <c r="L389" s="34">
        <f>64.6380973378644*K389</f>
        <v>40118.28149371891</v>
      </c>
      <c r="M389" s="34">
        <f>F389+L389</f>
        <v>56549.40818595518</v>
      </c>
      <c r="O389" s="4">
        <f>F389/M389</f>
        <v>0.29056231036414576</v>
      </c>
      <c r="P389" s="4">
        <f>L389/M389</f>
        <v>0.7094376896358543</v>
      </c>
    </row>
    <row r="390" spans="1:16" ht="12.75">
      <c r="A390" s="45">
        <v>1473</v>
      </c>
      <c r="B390" s="20"/>
      <c r="C390" s="34">
        <v>2632.327</v>
      </c>
      <c r="D390" s="34">
        <v>17.607</v>
      </c>
      <c r="E390" s="34">
        <f>C390+D390</f>
        <v>2649.934</v>
      </c>
      <c r="F390" s="34">
        <f>5.79292257485553*E390</f>
        <v>15350.862490477215</v>
      </c>
      <c r="H390" s="36"/>
      <c r="I390" s="34">
        <v>590.365</v>
      </c>
      <c r="J390" s="34">
        <v>4.262</v>
      </c>
      <c r="K390" s="34">
        <f>I390+J390</f>
        <v>594.627</v>
      </c>
      <c r="L390" s="34">
        <f>64.6380973378644*K390</f>
        <v>38435.557905722286</v>
      </c>
      <c r="M390" s="34">
        <f>F390+L390</f>
        <v>53786.4203961995</v>
      </c>
      <c r="O390" s="4">
        <f>F390/M390</f>
        <v>0.28540405510164596</v>
      </c>
      <c r="P390" s="4">
        <f>L390/M390</f>
        <v>0.7145959448983541</v>
      </c>
    </row>
    <row r="391" spans="1:16" ht="12.75">
      <c r="A391" s="45">
        <v>1474</v>
      </c>
      <c r="B391" s="20"/>
      <c r="C391" s="34">
        <v>2632.327</v>
      </c>
      <c r="D391" s="34">
        <v>17.607</v>
      </c>
      <c r="E391" s="34">
        <f>C391+D391</f>
        <v>2649.934</v>
      </c>
      <c r="F391" s="34">
        <f>5.79292257485553*E391</f>
        <v>15350.862490477215</v>
      </c>
      <c r="H391" s="36"/>
      <c r="I391" s="34">
        <v>590.365</v>
      </c>
      <c r="J391" s="34">
        <v>4.262</v>
      </c>
      <c r="K391" s="34">
        <f>I391+J391</f>
        <v>594.627</v>
      </c>
      <c r="L391" s="34">
        <f>64.6380973378644*K391</f>
        <v>38435.557905722286</v>
      </c>
      <c r="M391" s="34">
        <f>F391+L391</f>
        <v>53786.4203961995</v>
      </c>
      <c r="O391" s="4">
        <f>F391/M391</f>
        <v>0.28540405510164596</v>
      </c>
      <c r="P391" s="4">
        <f>L391/M391</f>
        <v>0.7145959448983541</v>
      </c>
    </row>
    <row r="392" spans="1:16" ht="12.75">
      <c r="A392" s="45">
        <v>1475</v>
      </c>
      <c r="B392" s="20"/>
      <c r="C392" s="34">
        <v>2632.327</v>
      </c>
      <c r="D392" s="34">
        <v>17.607</v>
      </c>
      <c r="E392" s="34">
        <f>C392+D392</f>
        <v>2649.934</v>
      </c>
      <c r="F392" s="34">
        <f>5.79292257485553*E392</f>
        <v>15350.862490477215</v>
      </c>
      <c r="H392" s="36"/>
      <c r="I392" s="34">
        <v>590.365</v>
      </c>
      <c r="J392" s="34">
        <v>4.262</v>
      </c>
      <c r="K392" s="34">
        <f>I392+J392</f>
        <v>594.627</v>
      </c>
      <c r="L392" s="34">
        <f>64.6380973378644*K392</f>
        <v>38435.557905722286</v>
      </c>
      <c r="M392" s="34">
        <f>F392+L392</f>
        <v>53786.4203961995</v>
      </c>
      <c r="O392" s="4">
        <f>F392/M392</f>
        <v>0.28540405510164596</v>
      </c>
      <c r="P392" s="4">
        <f>L392/M392</f>
        <v>0.7145959448983541</v>
      </c>
    </row>
    <row r="393" spans="1:16" ht="12.75">
      <c r="A393" s="45"/>
      <c r="B393" s="20"/>
      <c r="C393" s="36"/>
      <c r="D393" s="36"/>
      <c r="E393" s="36"/>
      <c r="F393" s="36"/>
      <c r="H393" s="36"/>
      <c r="I393" s="36"/>
      <c r="J393" s="36"/>
      <c r="K393" s="36"/>
      <c r="L393" s="36"/>
      <c r="M393" s="36"/>
      <c r="O393" s="8"/>
      <c r="P393" s="8"/>
    </row>
    <row r="394" spans="1:16" ht="12.75">
      <c r="A394" s="45" t="s">
        <v>85</v>
      </c>
      <c r="B394" s="20"/>
      <c r="C394" s="36">
        <f>SUM(C388:C393)/5</f>
        <v>2348.4744000000005</v>
      </c>
      <c r="D394" s="36">
        <f>SUM(D388:D393)/5</f>
        <v>74.17959999999998</v>
      </c>
      <c r="E394" s="36">
        <f>SUM(E388:E393)/5</f>
        <v>2422.654</v>
      </c>
      <c r="F394" s="36">
        <f>SUM(F388:F393)/5</f>
        <v>14034.24704766405</v>
      </c>
      <c r="H394" s="36"/>
      <c r="I394" s="36">
        <f>SUM(I388:I393)/5</f>
        <v>526.704</v>
      </c>
      <c r="J394" s="36">
        <f>SUM(J388:J393)/5</f>
        <v>11.965200000000001</v>
      </c>
      <c r="K394" s="36">
        <f>SUM(K388:K393)/5</f>
        <v>538.6692</v>
      </c>
      <c r="L394" s="36">
        <f>SUM(L388:L393)/5</f>
        <v>34818.55218250954</v>
      </c>
      <c r="M394" s="36">
        <f>SUM(M388:M393)/5</f>
        <v>48852.799230173594</v>
      </c>
      <c r="O394" s="4">
        <f>F394/M394</f>
        <v>0.28727621075592114</v>
      </c>
      <c r="P394" s="4">
        <f>L394/M394</f>
        <v>0.7127237892440789</v>
      </c>
    </row>
    <row r="395" spans="1:16" ht="12.75">
      <c r="A395" s="45"/>
      <c r="B395" s="20"/>
      <c r="C395" s="36"/>
      <c r="D395" s="36"/>
      <c r="E395" s="36"/>
      <c r="F395" s="36"/>
      <c r="H395" s="36"/>
      <c r="I395" s="36"/>
      <c r="J395" s="36"/>
      <c r="K395" s="36"/>
      <c r="L395" s="36"/>
      <c r="M395" s="36"/>
      <c r="O395" s="8"/>
      <c r="P395" s="8"/>
    </row>
    <row r="396" spans="1:16" ht="12.75">
      <c r="A396" s="45">
        <v>1476</v>
      </c>
      <c r="B396" s="20"/>
      <c r="C396" s="34">
        <v>1012.598</v>
      </c>
      <c r="D396" s="34"/>
      <c r="E396" s="34">
        <f>C396+D396</f>
        <v>1012.598</v>
      </c>
      <c r="F396" s="34">
        <f>5.79292257485553*E396</f>
        <v>5865.90181345356</v>
      </c>
      <c r="H396" s="36"/>
      <c r="I396" s="34">
        <v>336.672</v>
      </c>
      <c r="J396" s="34"/>
      <c r="K396" s="34">
        <f>I396+J396</f>
        <v>336.672</v>
      </c>
      <c r="L396" s="34">
        <f>64.6380973378644*K396</f>
        <v>21761.837506933483</v>
      </c>
      <c r="M396" s="34">
        <f>F396+L396</f>
        <v>27627.739320387045</v>
      </c>
      <c r="O396" s="4">
        <f>F396/M396</f>
        <v>0.21231928336333322</v>
      </c>
      <c r="P396" s="4">
        <f>L396/M396</f>
        <v>0.7876807166366667</v>
      </c>
    </row>
    <row r="397" spans="1:16" ht="12.75">
      <c r="A397" s="45">
        <v>1477</v>
      </c>
      <c r="B397" s="20"/>
      <c r="C397" s="34">
        <v>973.15</v>
      </c>
      <c r="D397" s="34"/>
      <c r="E397" s="34">
        <f>C397+D397</f>
        <v>973.15</v>
      </c>
      <c r="F397" s="34">
        <f>5.79292257485553*E397</f>
        <v>5637.382603720659</v>
      </c>
      <c r="H397" s="36"/>
      <c r="I397" s="34">
        <v>447.84</v>
      </c>
      <c r="J397" s="34"/>
      <c r="K397" s="34">
        <f>I397+J397</f>
        <v>447.84</v>
      </c>
      <c r="L397" s="34">
        <f>64.6380973378644*K397</f>
        <v>28947.52551178919</v>
      </c>
      <c r="M397" s="34">
        <f>F397+L397</f>
        <v>34584.90811550985</v>
      </c>
      <c r="O397" s="4">
        <f>F397/M397</f>
        <v>0.16300123119866075</v>
      </c>
      <c r="P397" s="4">
        <f>L397/M397</f>
        <v>0.8369987688013393</v>
      </c>
    </row>
    <row r="398" spans="1:16" ht="12.75">
      <c r="A398" s="45">
        <v>1478</v>
      </c>
      <c r="B398" s="20"/>
      <c r="C398" s="34">
        <v>677.389</v>
      </c>
      <c r="D398" s="34"/>
      <c r="E398" s="34">
        <f>C398+D398</f>
        <v>677.389</v>
      </c>
      <c r="F398" s="34">
        <f>5.79292257485553*E398</f>
        <v>3924.062030058813</v>
      </c>
      <c r="H398" s="36"/>
      <c r="I398" s="34">
        <v>390.24</v>
      </c>
      <c r="J398" s="34"/>
      <c r="K398" s="34">
        <f>I398+J398</f>
        <v>390.24</v>
      </c>
      <c r="L398" s="34">
        <f>64.6380973378644*K398</f>
        <v>25224.3711051282</v>
      </c>
      <c r="M398" s="34">
        <f>F398+L398</f>
        <v>29148.433135187013</v>
      </c>
      <c r="O398" s="4">
        <f>F398/M398</f>
        <v>0.134623429391881</v>
      </c>
      <c r="P398" s="4">
        <f>L398/M398</f>
        <v>0.865376570608119</v>
      </c>
    </row>
    <row r="399" spans="1:16" ht="12.75">
      <c r="A399" s="45">
        <v>1479</v>
      </c>
      <c r="B399" s="20"/>
      <c r="C399" s="34">
        <v>905.659</v>
      </c>
      <c r="D399" s="34"/>
      <c r="E399" s="34">
        <f>C399+D399</f>
        <v>905.659</v>
      </c>
      <c r="F399" s="34">
        <f>5.79292257485553*E399</f>
        <v>5246.412466221084</v>
      </c>
      <c r="H399" s="36"/>
      <c r="I399" s="34">
        <v>385.029</v>
      </c>
      <c r="J399" s="34"/>
      <c r="K399" s="34">
        <f>I399+J399</f>
        <v>385.029</v>
      </c>
      <c r="L399" s="34">
        <f>64.6380973378644*K399</f>
        <v>24887.54197990059</v>
      </c>
      <c r="M399" s="34">
        <f>F399+L399</f>
        <v>30133.954446121676</v>
      </c>
      <c r="O399" s="4">
        <f>F399/M399</f>
        <v>0.1741030197547243</v>
      </c>
      <c r="P399" s="4">
        <f>L399/M399</f>
        <v>0.8258969802452757</v>
      </c>
    </row>
    <row r="400" spans="1:16" ht="12.75">
      <c r="A400" s="45">
        <v>1480</v>
      </c>
      <c r="B400" s="20"/>
      <c r="C400" s="34">
        <v>604.617</v>
      </c>
      <c r="D400" s="34"/>
      <c r="E400" s="34">
        <f>C400+D400</f>
        <v>604.617</v>
      </c>
      <c r="F400" s="34">
        <f>5.79292257485553*E400</f>
        <v>3502.499468441426</v>
      </c>
      <c r="H400" s="36"/>
      <c r="I400" s="34">
        <v>462.604</v>
      </c>
      <c r="J400" s="34"/>
      <c r="K400" s="34">
        <f>I400+J400</f>
        <v>462.604</v>
      </c>
      <c r="L400" s="34">
        <f>64.6380973378644*K400</f>
        <v>29901.84238088542</v>
      </c>
      <c r="M400" s="34">
        <f>F400+L400</f>
        <v>33404.34184932685</v>
      </c>
      <c r="O400" s="4">
        <f>F400/M400</f>
        <v>0.10485162330812416</v>
      </c>
      <c r="P400" s="4">
        <f>L400/M400</f>
        <v>0.8951483766918759</v>
      </c>
    </row>
    <row r="401" spans="1:16" ht="12.75">
      <c r="A401" s="45"/>
      <c r="B401" s="20"/>
      <c r="C401" s="36"/>
      <c r="D401" s="36"/>
      <c r="E401" s="36"/>
      <c r="F401" s="36"/>
      <c r="H401" s="36"/>
      <c r="I401" s="36"/>
      <c r="J401" s="36"/>
      <c r="K401" s="36"/>
      <c r="L401" s="36"/>
      <c r="M401" s="36"/>
      <c r="O401" s="8"/>
      <c r="P401" s="8"/>
    </row>
    <row r="402" spans="1:16" ht="12.75">
      <c r="A402" s="45" t="s">
        <v>87</v>
      </c>
      <c r="B402" s="20"/>
      <c r="C402" s="36">
        <f>SUM(C396:C401)/5</f>
        <v>834.6826000000001</v>
      </c>
      <c r="D402" s="36">
        <f>SUM(D396:D401)/5</f>
        <v>0</v>
      </c>
      <c r="E402" s="36">
        <f>SUM(E396:E401)/5</f>
        <v>834.6826000000001</v>
      </c>
      <c r="F402" s="36">
        <f>SUM(F396:F401)/5</f>
        <v>4835.251676379108</v>
      </c>
      <c r="H402" s="36"/>
      <c r="I402" s="36">
        <f>SUM(I396:I401)/5</f>
        <v>404.477</v>
      </c>
      <c r="J402" s="36">
        <f>SUM(J396:J401)/5</f>
        <v>0</v>
      </c>
      <c r="K402" s="36">
        <f>SUM(K396:K401)/5</f>
        <v>404.477</v>
      </c>
      <c r="L402" s="36">
        <f>SUM(L396:L401)/5</f>
        <v>26144.623696927378</v>
      </c>
      <c r="M402" s="36">
        <f>SUM(M396:M401)/5</f>
        <v>30979.875373306488</v>
      </c>
      <c r="O402" s="4">
        <f>F402/M402</f>
        <v>0.15607718294907527</v>
      </c>
      <c r="P402" s="4">
        <f>L402/M402</f>
        <v>0.8439228170509246</v>
      </c>
    </row>
    <row r="403" spans="1:16" ht="12.75">
      <c r="A403" s="45"/>
      <c r="B403" s="20"/>
      <c r="C403" s="36"/>
      <c r="D403" s="36"/>
      <c r="E403" s="36"/>
      <c r="F403" s="36"/>
      <c r="H403" s="36"/>
      <c r="I403" s="36"/>
      <c r="J403" s="36"/>
      <c r="K403" s="36"/>
      <c r="L403" s="36"/>
      <c r="M403" s="36"/>
      <c r="O403" s="8"/>
      <c r="P403" s="8"/>
    </row>
    <row r="404" spans="1:16" ht="12.75">
      <c r="A404" s="45">
        <v>1481</v>
      </c>
      <c r="B404" s="20"/>
      <c r="C404" s="34">
        <v>315.889</v>
      </c>
      <c r="D404" s="34"/>
      <c r="E404" s="34">
        <f>C404+D404</f>
        <v>315.889</v>
      </c>
      <c r="F404" s="34">
        <f>5.79292257485553*E404</f>
        <v>1829.9205192485385</v>
      </c>
      <c r="H404" s="36"/>
      <c r="I404" s="34">
        <v>276.385</v>
      </c>
      <c r="J404" s="34"/>
      <c r="K404" s="34">
        <f>I404+J404</f>
        <v>276.385</v>
      </c>
      <c r="L404" s="34">
        <f>64.6380973378644*K404</f>
        <v>17865.00053272565</v>
      </c>
      <c r="M404" s="34">
        <f>F404+L404</f>
        <v>19694.92105197419</v>
      </c>
      <c r="O404" s="4">
        <f>F404/M404</f>
        <v>0.0929133208718859</v>
      </c>
      <c r="P404" s="4">
        <f>L404/M404</f>
        <v>0.9070866791281141</v>
      </c>
    </row>
    <row r="405" spans="1:16" ht="12.75">
      <c r="A405" s="45">
        <v>1482</v>
      </c>
      <c r="B405" s="20"/>
      <c r="C405" s="34">
        <v>553.855</v>
      </c>
      <c r="D405" s="34"/>
      <c r="E405" s="34">
        <f>C405+D405</f>
        <v>553.855</v>
      </c>
      <c r="F405" s="34">
        <f>5.79292257485553*E405</f>
        <v>3208.4391326966097</v>
      </c>
      <c r="H405" s="36"/>
      <c r="I405" s="34">
        <v>267.335</v>
      </c>
      <c r="J405" s="34"/>
      <c r="K405" s="34">
        <f>I405+J405</f>
        <v>267.335</v>
      </c>
      <c r="L405" s="34">
        <f>64.6380973378644*K405</f>
        <v>17280.025751817975</v>
      </c>
      <c r="M405" s="34">
        <f>F405+L405</f>
        <v>20488.464884514586</v>
      </c>
      <c r="O405" s="4">
        <f>F405/M405</f>
        <v>0.15659734151784033</v>
      </c>
      <c r="P405" s="4">
        <f>L405/M405</f>
        <v>0.8434026584821597</v>
      </c>
    </row>
    <row r="406" spans="1:16" ht="12.75">
      <c r="A406" s="45">
        <v>1483</v>
      </c>
      <c r="B406" s="20"/>
      <c r="C406" s="34">
        <v>1004.647</v>
      </c>
      <c r="D406" s="34"/>
      <c r="E406" s="34">
        <f>C406+D406</f>
        <v>1004.647</v>
      </c>
      <c r="F406" s="34">
        <f>5.79292257485553*E406</f>
        <v>5819.842286060884</v>
      </c>
      <c r="H406" s="36"/>
      <c r="I406" s="34">
        <v>162.414</v>
      </c>
      <c r="J406" s="34"/>
      <c r="K406" s="34">
        <f>I406+J406</f>
        <v>162.414</v>
      </c>
      <c r="L406" s="34">
        <f>64.6380973378644*K406</f>
        <v>10498.131941031907</v>
      </c>
      <c r="M406" s="34">
        <f>F406+L406</f>
        <v>16317.97422709279</v>
      </c>
      <c r="O406" s="4">
        <f>F406/M406</f>
        <v>0.3566522538317397</v>
      </c>
      <c r="P406" s="4">
        <f>L406/M406</f>
        <v>0.6433477461682603</v>
      </c>
    </row>
    <row r="407" spans="1:16" ht="12.75">
      <c r="A407" s="45">
        <v>1484</v>
      </c>
      <c r="B407" s="20"/>
      <c r="C407" s="34">
        <v>2300.517</v>
      </c>
      <c r="D407" s="34"/>
      <c r="E407" s="34">
        <f>C407+D407</f>
        <v>2300.517</v>
      </c>
      <c r="F407" s="34">
        <f>5.79292257485553*E407</f>
        <v>13326.71686313892</v>
      </c>
      <c r="H407" s="36"/>
      <c r="I407" s="34">
        <v>255.876</v>
      </c>
      <c r="J407" s="34"/>
      <c r="K407" s="34">
        <f>I407+J407</f>
        <v>255.876</v>
      </c>
      <c r="L407" s="34">
        <f>64.6380973378644*K407</f>
        <v>16539.33779442339</v>
      </c>
      <c r="M407" s="34">
        <f>F407+L407</f>
        <v>29866.05465756231</v>
      </c>
      <c r="O407" s="4">
        <f>F407/M407</f>
        <v>0.44621618141197955</v>
      </c>
      <c r="P407" s="4">
        <f>L407/M407</f>
        <v>0.5537838185880205</v>
      </c>
    </row>
    <row r="408" spans="1:16" ht="12.75">
      <c r="A408" s="45">
        <v>1485</v>
      </c>
      <c r="B408" s="20"/>
      <c r="C408" s="34">
        <v>801.247</v>
      </c>
      <c r="D408" s="34"/>
      <c r="E408" s="34">
        <f>C408+D408</f>
        <v>801.247</v>
      </c>
      <c r="F408" s="34">
        <f>5.79292257485553*E408</f>
        <v>4641.561834335269</v>
      </c>
      <c r="H408" s="36"/>
      <c r="I408" s="34">
        <v>135.234</v>
      </c>
      <c r="J408" s="34"/>
      <c r="K408" s="34">
        <f>I408+J408</f>
        <v>135.234</v>
      </c>
      <c r="L408" s="34">
        <f>64.6380973378644*K408</f>
        <v>8741.268455388754</v>
      </c>
      <c r="M408" s="34">
        <f>F408+L408</f>
        <v>13382.830289724023</v>
      </c>
      <c r="O408" s="4">
        <f>F408/M408</f>
        <v>0.3468296118123296</v>
      </c>
      <c r="P408" s="4">
        <f>L408/M408</f>
        <v>0.6531703881876705</v>
      </c>
    </row>
    <row r="409" spans="1:16" ht="12.75">
      <c r="A409" s="45"/>
      <c r="B409" s="20"/>
      <c r="C409" s="36"/>
      <c r="D409" s="36"/>
      <c r="E409" s="36"/>
      <c r="F409" s="36"/>
      <c r="H409" s="36"/>
      <c r="I409" s="36"/>
      <c r="J409" s="36"/>
      <c r="K409" s="36"/>
      <c r="L409" s="36"/>
      <c r="M409" s="36"/>
      <c r="O409" s="8"/>
      <c r="P409" s="8"/>
    </row>
    <row r="410" spans="1:16" ht="12.75">
      <c r="A410" s="45" t="s">
        <v>89</v>
      </c>
      <c r="B410" s="20"/>
      <c r="C410" s="36">
        <f>SUM(C404:C409)/5</f>
        <v>995.231</v>
      </c>
      <c r="D410" s="36">
        <f>SUM(D404:D409)/5</f>
        <v>0</v>
      </c>
      <c r="E410" s="36">
        <f>SUM(E404:E409)/5</f>
        <v>995.231</v>
      </c>
      <c r="F410" s="36">
        <f>SUM(F404:F409)/5</f>
        <v>5765.296127096044</v>
      </c>
      <c r="H410" s="36"/>
      <c r="I410" s="36">
        <f>SUM(I404:I409)/5</f>
        <v>219.44879999999998</v>
      </c>
      <c r="J410" s="36">
        <f>SUM(J404:J409)/5</f>
        <v>0</v>
      </c>
      <c r="K410" s="36">
        <f>SUM(K404:K409)/5</f>
        <v>219.44879999999998</v>
      </c>
      <c r="L410" s="36">
        <f>SUM(L404:L409)/5</f>
        <v>14184.752895077534</v>
      </c>
      <c r="M410" s="36">
        <f>SUM(M404:M409)/5</f>
        <v>19950.049022173578</v>
      </c>
      <c r="O410" s="4">
        <f>F410/M410</f>
        <v>0.28898656442839704</v>
      </c>
      <c r="P410" s="4">
        <f>L410/M410</f>
        <v>0.711013435571603</v>
      </c>
    </row>
    <row r="411" spans="1:16" ht="12.75">
      <c r="A411" s="45"/>
      <c r="B411" s="20"/>
      <c r="C411" s="36"/>
      <c r="D411" s="36"/>
      <c r="E411" s="36"/>
      <c r="F411" s="36"/>
      <c r="H411" s="36"/>
      <c r="I411" s="36"/>
      <c r="J411" s="36"/>
      <c r="K411" s="36"/>
      <c r="L411" s="36"/>
      <c r="M411" s="36"/>
      <c r="O411" s="8"/>
      <c r="P411" s="8"/>
    </row>
    <row r="412" spans="1:16" ht="12.75">
      <c r="A412" s="45">
        <v>1486</v>
      </c>
      <c r="B412" s="20"/>
      <c r="C412" s="34">
        <v>1328.022</v>
      </c>
      <c r="D412" s="34"/>
      <c r="E412" s="34">
        <f>C412+D412</f>
        <v>1328.022</v>
      </c>
      <c r="F412" s="34">
        <f>5.79292257485553*E412</f>
        <v>7693.128623704791</v>
      </c>
      <c r="H412" s="36"/>
      <c r="I412" s="34">
        <v>164.358</v>
      </c>
      <c r="J412" s="34"/>
      <c r="K412" s="34">
        <f>I412+J412</f>
        <v>164.358</v>
      </c>
      <c r="L412" s="34">
        <f>64.6380973378644*K412</f>
        <v>10623.788402256716</v>
      </c>
      <c r="M412" s="34">
        <f>F412+L412</f>
        <v>18316.917025961506</v>
      </c>
      <c r="O412" s="4">
        <f>F412/M412</f>
        <v>0.42000128148208155</v>
      </c>
      <c r="P412" s="4">
        <f>L412/M412</f>
        <v>0.5799987185179185</v>
      </c>
    </row>
    <row r="413" spans="1:16" ht="12.75">
      <c r="A413" s="45">
        <v>1487</v>
      </c>
      <c r="B413" s="20"/>
      <c r="C413" s="34">
        <v>615.029</v>
      </c>
      <c r="D413" s="34"/>
      <c r="E413" s="34">
        <f>C413+D413</f>
        <v>615.029</v>
      </c>
      <c r="F413" s="34">
        <f>5.79292257485553*E413</f>
        <v>3562.815378290822</v>
      </c>
      <c r="H413" s="36"/>
      <c r="I413" s="34">
        <v>120.092</v>
      </c>
      <c r="J413" s="34"/>
      <c r="K413" s="34">
        <f>I413+J413</f>
        <v>120.092</v>
      </c>
      <c r="L413" s="34">
        <f>64.6380973378644*K413</f>
        <v>7762.518385498811</v>
      </c>
      <c r="M413" s="34">
        <f>F413+L413</f>
        <v>11325.333763789633</v>
      </c>
      <c r="O413" s="4">
        <f>F413/M413</f>
        <v>0.3145881130392972</v>
      </c>
      <c r="P413" s="4">
        <f>L413/M413</f>
        <v>0.6854118869607028</v>
      </c>
    </row>
    <row r="414" spans="1:16" ht="12.75">
      <c r="A414" s="45">
        <v>1488</v>
      </c>
      <c r="B414" s="20"/>
      <c r="C414" s="34">
        <v>858.308</v>
      </c>
      <c r="D414" s="34"/>
      <c r="E414" s="34">
        <f>C414+D414</f>
        <v>858.308</v>
      </c>
      <c r="F414" s="34">
        <f>5.79292257485553*E414</f>
        <v>4972.111789379101</v>
      </c>
      <c r="H414" s="36"/>
      <c r="I414" s="34">
        <v>140.499</v>
      </c>
      <c r="J414" s="34"/>
      <c r="K414" s="34">
        <f>I414+J414</f>
        <v>140.499</v>
      </c>
      <c r="L414" s="34">
        <f>64.6380973378644*K414</f>
        <v>9081.588037872609</v>
      </c>
      <c r="M414" s="34">
        <f>F414+L414</f>
        <v>14053.699827251708</v>
      </c>
      <c r="O414" s="4">
        <f>F414/M414</f>
        <v>0.3537937945520663</v>
      </c>
      <c r="P414" s="4">
        <f>L414/M414</f>
        <v>0.6462062054479337</v>
      </c>
    </row>
    <row r="415" spans="1:16" ht="12.75">
      <c r="A415" s="45">
        <v>1489</v>
      </c>
      <c r="B415" s="20"/>
      <c r="C415" s="34">
        <v>881.693</v>
      </c>
      <c r="D415" s="34"/>
      <c r="E415" s="34">
        <f>C415+D415</f>
        <v>881.693</v>
      </c>
      <c r="F415" s="34">
        <f>5.79292257485553*E415</f>
        <v>5107.579283792097</v>
      </c>
      <c r="H415" s="36"/>
      <c r="I415" s="34">
        <v>82.933</v>
      </c>
      <c r="J415" s="34"/>
      <c r="K415" s="34">
        <f>I415+J415</f>
        <v>82.933</v>
      </c>
      <c r="L415" s="34">
        <f>64.6380973378644*K415</f>
        <v>5360.631326521108</v>
      </c>
      <c r="M415" s="34">
        <f>F415+L415</f>
        <v>10468.210610313206</v>
      </c>
      <c r="O415" s="4">
        <f>F415/M415</f>
        <v>0.4879133095354565</v>
      </c>
      <c r="P415" s="4">
        <f>L415/M415</f>
        <v>0.5120866904645435</v>
      </c>
    </row>
    <row r="416" spans="1:16" ht="12.75">
      <c r="A416" s="45">
        <v>1490</v>
      </c>
      <c r="B416" s="20"/>
      <c r="C416" s="34">
        <f>(C415+C421)/2</f>
        <v>950.873125</v>
      </c>
      <c r="D416" s="34"/>
      <c r="E416" s="34">
        <f>C416+D416</f>
        <v>950.873125</v>
      </c>
      <c r="F416" s="34">
        <f>5.79292257485553*E416</f>
        <v>5508.3343916359245</v>
      </c>
      <c r="H416" s="36"/>
      <c r="I416" s="34">
        <f>(I415+I421)/2</f>
        <v>140.863125</v>
      </c>
      <c r="J416" s="34"/>
      <c r="K416" s="34">
        <f>I416+J416</f>
        <v>140.863125</v>
      </c>
      <c r="L416" s="34">
        <f>64.6380973378644*K416</f>
        <v>9105.12438506576</v>
      </c>
      <c r="M416" s="34">
        <f>F416+L416</f>
        <v>14613.458776701684</v>
      </c>
      <c r="O416" s="4">
        <f>F416/M416</f>
        <v>0.37693570535251325</v>
      </c>
      <c r="P416" s="4">
        <f>L416/M416</f>
        <v>0.6230642946474868</v>
      </c>
    </row>
    <row r="417" spans="1:16" ht="12.75">
      <c r="A417" s="45"/>
      <c r="B417" s="20"/>
      <c r="C417" s="36"/>
      <c r="D417" s="36"/>
      <c r="E417" s="36"/>
      <c r="F417" s="36"/>
      <c r="H417" s="36"/>
      <c r="I417" s="36"/>
      <c r="J417" s="36"/>
      <c r="K417" s="36"/>
      <c r="L417" s="36"/>
      <c r="M417" s="36"/>
      <c r="O417" s="8"/>
      <c r="P417" s="8"/>
    </row>
    <row r="418" spans="1:16" ht="12.75">
      <c r="A418" s="45" t="s">
        <v>90</v>
      </c>
      <c r="B418" s="20"/>
      <c r="C418" s="36">
        <f>SUM(C412:C417)/5</f>
        <v>926.7850249999999</v>
      </c>
      <c r="D418" s="36">
        <f>SUM(D412:D417)/5</f>
        <v>0</v>
      </c>
      <c r="E418" s="36">
        <f>SUM(E412:E417)/5</f>
        <v>926.7850249999999</v>
      </c>
      <c r="F418" s="36">
        <f>SUM(F412:F417)/5</f>
        <v>5368.793893360547</v>
      </c>
      <c r="H418" s="36"/>
      <c r="I418" s="36">
        <f>SUM(I412:I417)/5</f>
        <v>129.749025</v>
      </c>
      <c r="J418" s="36">
        <f>SUM(J412:J417)/5</f>
        <v>0</v>
      </c>
      <c r="K418" s="36">
        <f>SUM(K412:K417)/5</f>
        <v>129.749025</v>
      </c>
      <c r="L418" s="36">
        <f>SUM(L412:L417)/5</f>
        <v>8386.730107443</v>
      </c>
      <c r="M418" s="36">
        <f>SUM(M412:M417)/5</f>
        <v>13755.524000803547</v>
      </c>
      <c r="O418" s="4">
        <f>F418/M418</f>
        <v>0.3903009360491772</v>
      </c>
      <c r="P418" s="4">
        <f>L418/M418</f>
        <v>0.6096990639508229</v>
      </c>
    </row>
    <row r="419" spans="1:16" ht="12.75">
      <c r="A419" s="45"/>
      <c r="B419" s="20"/>
      <c r="C419" s="36"/>
      <c r="D419" s="36"/>
      <c r="E419" s="36"/>
      <c r="F419" s="36"/>
      <c r="H419" s="36"/>
      <c r="I419" s="36"/>
      <c r="J419" s="36"/>
      <c r="K419" s="36"/>
      <c r="L419" s="36"/>
      <c r="M419" s="36"/>
      <c r="O419" s="8"/>
      <c r="P419" s="8"/>
    </row>
    <row r="420" spans="1:16" ht="12.75">
      <c r="A420" s="45">
        <v>1491</v>
      </c>
      <c r="B420" s="20"/>
      <c r="C420" s="34">
        <f>(C416+C421)/2</f>
        <v>985.4631875</v>
      </c>
      <c r="D420" s="34"/>
      <c r="E420" s="34">
        <f>C420+D420</f>
        <v>985.4631875</v>
      </c>
      <c r="F420" s="34">
        <f>5.79292257485553*E420</f>
        <v>5708.711945557839</v>
      </c>
      <c r="H420" s="36"/>
      <c r="I420" s="34">
        <f>(I416+I421)/2</f>
        <v>169.8281875</v>
      </c>
      <c r="J420" s="34"/>
      <c r="K420" s="34">
        <f>I420+J420</f>
        <v>169.8281875</v>
      </c>
      <c r="L420" s="34">
        <f>64.6380973378644*K420</f>
        <v>10977.370914338086</v>
      </c>
      <c r="M420" s="34">
        <f>F420+L420</f>
        <v>16686.082859895923</v>
      </c>
      <c r="O420" s="4">
        <f>F420/M420</f>
        <v>0.3421241518150681</v>
      </c>
      <c r="P420" s="4">
        <f>L420/M420</f>
        <v>0.6578758481849319</v>
      </c>
    </row>
    <row r="421" spans="1:16" ht="12.75">
      <c r="A421" s="45">
        <v>1492</v>
      </c>
      <c r="B421" s="20"/>
      <c r="C421" s="34">
        <f>(C414+C415+C424+C428)/4</f>
        <v>1020.0532499999999</v>
      </c>
      <c r="D421" s="34"/>
      <c r="E421" s="34">
        <f>C421+D421</f>
        <v>1020.0532499999999</v>
      </c>
      <c r="F421" s="34">
        <f>5.79292257485553*E421</f>
        <v>5909.089499479752</v>
      </c>
      <c r="H421" s="36"/>
      <c r="I421" s="34">
        <f>(I414+I415+I424+I428)/4</f>
        <v>198.79325</v>
      </c>
      <c r="J421" s="34"/>
      <c r="K421" s="34">
        <f>I421+J421</f>
        <v>198.79325</v>
      </c>
      <c r="L421" s="34">
        <f>64.6380973378644*K421</f>
        <v>12849.61744361041</v>
      </c>
      <c r="M421" s="34">
        <f>F421+L421</f>
        <v>18758.70694309016</v>
      </c>
      <c r="O421" s="4">
        <f>F421/M421</f>
        <v>0.3150051609317553</v>
      </c>
      <c r="P421" s="4">
        <f>L421/M421</f>
        <v>0.6849948390682448</v>
      </c>
    </row>
    <row r="422" spans="1:16" ht="12.75">
      <c r="A422" s="45">
        <v>1493</v>
      </c>
      <c r="B422" s="20"/>
      <c r="C422" s="34">
        <f>(C421+C424)/2</f>
        <v>1306.391625</v>
      </c>
      <c r="D422" s="34"/>
      <c r="E422" s="34">
        <f>C422+D422</f>
        <v>1306.391625</v>
      </c>
      <c r="F422" s="34">
        <f>5.79292257485553*E422</f>
        <v>7567.8255360647</v>
      </c>
      <c r="H422" s="36"/>
      <c r="I422" s="34">
        <f>(I421+I424)/2</f>
        <v>283.218125</v>
      </c>
      <c r="J422" s="34"/>
      <c r="K422" s="34">
        <f>I422+J422</f>
        <v>283.218125</v>
      </c>
      <c r="L422" s="34">
        <f>64.6380973378644*K422</f>
        <v>18306.680731597444</v>
      </c>
      <c r="M422" s="34">
        <f>F422+L422</f>
        <v>25874.506267662146</v>
      </c>
      <c r="O422" s="4">
        <f>F422/M422</f>
        <v>0.29248193019717394</v>
      </c>
      <c r="P422" s="4">
        <f>L422/M422</f>
        <v>0.7075180698028259</v>
      </c>
    </row>
    <row r="423" spans="1:16" ht="12.75">
      <c r="A423" s="45">
        <v>1494</v>
      </c>
      <c r="B423" s="20"/>
      <c r="C423" s="34">
        <f>(C422+C424)/2</f>
        <v>1449.5608124999999</v>
      </c>
      <c r="D423" s="34"/>
      <c r="E423" s="34">
        <f>C423+D423</f>
        <v>1449.5608124999999</v>
      </c>
      <c r="F423" s="34">
        <f>5.79292257485553*E423</f>
        <v>8397.193554357174</v>
      </c>
      <c r="H423" s="36"/>
      <c r="I423" s="34">
        <f>(I422+I424)/2</f>
        <v>325.43056249999995</v>
      </c>
      <c r="J423" s="34"/>
      <c r="K423" s="34">
        <f>I423+J423</f>
        <v>325.43056249999995</v>
      </c>
      <c r="L423" s="34">
        <f>64.6380973378644*K423</f>
        <v>21035.21237559096</v>
      </c>
      <c r="M423" s="34">
        <f>F423+L423</f>
        <v>29432.405929948134</v>
      </c>
      <c r="O423" s="4">
        <f>F423/M423</f>
        <v>0.28530435379096347</v>
      </c>
      <c r="P423" s="4">
        <f>L423/M423</f>
        <v>0.7146956462090365</v>
      </c>
    </row>
    <row r="424" spans="1:16" ht="12.75">
      <c r="A424" s="45">
        <v>1495</v>
      </c>
      <c r="B424" s="20"/>
      <c r="C424" s="34">
        <v>1592.73</v>
      </c>
      <c r="D424" s="34"/>
      <c r="E424" s="34">
        <f>C424+D424</f>
        <v>1592.73</v>
      </c>
      <c r="F424" s="34">
        <f>5.79292257485553*E424</f>
        <v>9226.561572649649</v>
      </c>
      <c r="H424" s="36"/>
      <c r="I424" s="34">
        <v>367.643</v>
      </c>
      <c r="J424" s="34"/>
      <c r="K424" s="34">
        <f>I424+J424</f>
        <v>367.643</v>
      </c>
      <c r="L424" s="34">
        <f>64.6380973378644*K424</f>
        <v>23763.74401958448</v>
      </c>
      <c r="M424" s="34">
        <f>F424+L424</f>
        <v>32990.30559223413</v>
      </c>
      <c r="O424" s="4">
        <f>F424/M424</f>
        <v>0.2796749350155025</v>
      </c>
      <c r="P424" s="4">
        <f>L424/M424</f>
        <v>0.7203250649844974</v>
      </c>
    </row>
    <row r="425" spans="1:16" ht="12.75">
      <c r="A425" s="45"/>
      <c r="B425" s="20"/>
      <c r="C425" s="36"/>
      <c r="D425" s="36"/>
      <c r="E425" s="36"/>
      <c r="F425" s="36"/>
      <c r="H425" s="36"/>
      <c r="I425" s="36"/>
      <c r="J425" s="36"/>
      <c r="K425" s="36"/>
      <c r="L425" s="36"/>
      <c r="M425" s="36"/>
      <c r="O425" s="8"/>
      <c r="P425" s="8"/>
    </row>
    <row r="426" spans="1:16" ht="12.75">
      <c r="A426" s="45" t="s">
        <v>93</v>
      </c>
      <c r="B426" s="20"/>
      <c r="C426" s="36">
        <f>SUM(C420:C425)/5</f>
        <v>1270.839775</v>
      </c>
      <c r="D426" s="36">
        <f>SUM(D420:D425)/5</f>
        <v>0</v>
      </c>
      <c r="E426" s="36">
        <f>SUM(E420:E425)/5</f>
        <v>1270.839775</v>
      </c>
      <c r="F426" s="36">
        <f>SUM(F420:F425)/5</f>
        <v>7361.876421621823</v>
      </c>
      <c r="H426" s="36"/>
      <c r="I426" s="36">
        <f>SUM(I420:I425)/5</f>
        <v>268.982625</v>
      </c>
      <c r="J426" s="36">
        <f>SUM(J420:J425)/5</f>
        <v>0</v>
      </c>
      <c r="K426" s="36">
        <f>SUM(K420:K425)/5</f>
        <v>268.982625</v>
      </c>
      <c r="L426" s="36">
        <f>SUM(L420:L425)/5</f>
        <v>17386.52509694428</v>
      </c>
      <c r="M426" s="36">
        <f>SUM(M420:M425)/5</f>
        <v>24748.401518566097</v>
      </c>
      <c r="O426" s="4">
        <f>F426/M426</f>
        <v>0.29746876444116965</v>
      </c>
      <c r="P426" s="4">
        <f>L426/M426</f>
        <v>0.7025312355588306</v>
      </c>
    </row>
    <row r="427" spans="1:16" ht="12.75">
      <c r="A427" s="45"/>
      <c r="B427" s="20"/>
      <c r="C427" s="36"/>
      <c r="D427" s="36"/>
      <c r="E427" s="36"/>
      <c r="F427" s="36"/>
      <c r="H427" s="36"/>
      <c r="I427" s="36"/>
      <c r="J427" s="36"/>
      <c r="K427" s="36"/>
      <c r="L427" s="36"/>
      <c r="M427" s="36"/>
      <c r="O427" s="8"/>
      <c r="P427" s="8"/>
    </row>
    <row r="428" spans="1:16" ht="12.75">
      <c r="A428" s="45">
        <v>1496</v>
      </c>
      <c r="B428" s="20"/>
      <c r="C428" s="34">
        <v>747.482</v>
      </c>
      <c r="D428" s="34"/>
      <c r="E428" s="34">
        <f>C428+D428</f>
        <v>747.482</v>
      </c>
      <c r="F428" s="34">
        <f>5.79292257485553*E428</f>
        <v>4330.105352098161</v>
      </c>
      <c r="H428" s="36"/>
      <c r="I428" s="34">
        <v>204.098</v>
      </c>
      <c r="J428" s="34"/>
      <c r="K428" s="34">
        <f>I428+J428</f>
        <v>204.098</v>
      </c>
      <c r="L428" s="34">
        <f>64.6380973378644*K428</f>
        <v>13192.506390463448</v>
      </c>
      <c r="M428" s="34">
        <f>F428+L428</f>
        <v>17522.61174256161</v>
      </c>
      <c r="O428" s="4">
        <f>F428/M428</f>
        <v>0.2471152939821486</v>
      </c>
      <c r="P428" s="4">
        <f>L428/M428</f>
        <v>0.7528847060178514</v>
      </c>
    </row>
    <row r="429" spans="1:16" ht="12.75">
      <c r="A429" s="45">
        <v>1497</v>
      </c>
      <c r="B429" s="20"/>
      <c r="C429" s="34">
        <v>1459.972</v>
      </c>
      <c r="D429" s="34"/>
      <c r="E429" s="34">
        <f>C429+D429</f>
        <v>1459.972</v>
      </c>
      <c r="F429" s="34">
        <f>5.79292257485553*E429</f>
        <v>8457.504757456978</v>
      </c>
      <c r="H429" s="36"/>
      <c r="I429" s="34">
        <v>266.259</v>
      </c>
      <c r="J429" s="34"/>
      <c r="K429" s="34">
        <f>I429+J429</f>
        <v>266.259</v>
      </c>
      <c r="L429" s="34">
        <f>64.6380973378644*K429</f>
        <v>17210.475159082438</v>
      </c>
      <c r="M429" s="34">
        <f>F429+L429</f>
        <v>25667.979916539414</v>
      </c>
      <c r="O429" s="4">
        <f>F429/M429</f>
        <v>0.32949631349864433</v>
      </c>
      <c r="P429" s="4">
        <f>L429/M429</f>
        <v>0.6705036865013557</v>
      </c>
    </row>
    <row r="430" spans="1:16" ht="12.75">
      <c r="A430" s="45">
        <v>1498</v>
      </c>
      <c r="B430" s="20"/>
      <c r="C430" s="34">
        <v>2494.261</v>
      </c>
      <c r="D430" s="34"/>
      <c r="E430" s="34">
        <f>C430+D430</f>
        <v>2494.261</v>
      </c>
      <c r="F430" s="34">
        <f>5.79292257485553*E430</f>
        <v>14449.06085448173</v>
      </c>
      <c r="H430" s="36"/>
      <c r="I430" s="34">
        <v>302.202</v>
      </c>
      <c r="J430" s="34"/>
      <c r="K430" s="34">
        <f>I430+J430</f>
        <v>302.202</v>
      </c>
      <c r="L430" s="34">
        <f>64.6380973378644*K430</f>
        <v>19533.762291697294</v>
      </c>
      <c r="M430" s="34">
        <f>F430+L430</f>
        <v>33982.82314617903</v>
      </c>
      <c r="O430" s="4">
        <f>F430/M430</f>
        <v>0.42518718331105926</v>
      </c>
      <c r="P430" s="4">
        <f>L430/M430</f>
        <v>0.5748128166889407</v>
      </c>
    </row>
    <row r="431" spans="1:16" ht="12.75">
      <c r="A431" s="45">
        <v>1499</v>
      </c>
      <c r="B431" s="20"/>
      <c r="C431" s="34">
        <v>4325.385</v>
      </c>
      <c r="D431" s="34"/>
      <c r="E431" s="34">
        <f>C431+D431</f>
        <v>4325.385</v>
      </c>
      <c r="F431" s="34">
        <f>5.79292257485553*E431</f>
        <v>25056.62041144149</v>
      </c>
      <c r="H431" s="36"/>
      <c r="I431" s="34">
        <v>341.849</v>
      </c>
      <c r="J431" s="34"/>
      <c r="K431" s="34">
        <f>I431+J431</f>
        <v>341.849</v>
      </c>
      <c r="L431" s="34">
        <f>64.6380973378644*K431</f>
        <v>22096.468936851605</v>
      </c>
      <c r="M431" s="34">
        <f>F431+L431</f>
        <v>47153.0893482931</v>
      </c>
      <c r="O431" s="4">
        <f>F431/M431</f>
        <v>0.5313887331191062</v>
      </c>
      <c r="P431" s="4">
        <f>L431/M431</f>
        <v>0.4686112668808937</v>
      </c>
    </row>
    <row r="432" spans="1:16" ht="12.75">
      <c r="A432" s="45">
        <v>1500</v>
      </c>
      <c r="B432" s="20"/>
      <c r="C432" s="34">
        <v>3427.6</v>
      </c>
      <c r="D432" s="34"/>
      <c r="E432" s="34">
        <f>C432+D432</f>
        <v>3427.6</v>
      </c>
      <c r="F432" s="34">
        <f>5.79292257485553*E432</f>
        <v>19855.821417574814</v>
      </c>
      <c r="H432" s="36">
        <v>754.708</v>
      </c>
      <c r="I432" s="34">
        <f>H432*0.373241712*(23.875/24)</f>
        <v>280.221378344783</v>
      </c>
      <c r="J432" s="34"/>
      <c r="K432" s="34">
        <f>I432+J432</f>
        <v>280.221378344783</v>
      </c>
      <c r="L432" s="34">
        <f>64.6380973378644*K432</f>
        <v>18112.976729600607</v>
      </c>
      <c r="M432" s="34">
        <f>F432+L432</f>
        <v>37968.79814717542</v>
      </c>
      <c r="O432" s="4">
        <f>F432/M432</f>
        <v>0.5229510120549321</v>
      </c>
      <c r="P432" s="4">
        <f>L432/M432</f>
        <v>0.477048987945068</v>
      </c>
    </row>
    <row r="433" spans="1:16" ht="12.75">
      <c r="A433" s="45"/>
      <c r="B433" s="20"/>
      <c r="C433" s="36"/>
      <c r="D433" s="36"/>
      <c r="E433" s="36"/>
      <c r="F433" s="36"/>
      <c r="H433" s="36"/>
      <c r="I433" s="36"/>
      <c r="J433" s="36"/>
      <c r="K433" s="36"/>
      <c r="L433" s="36"/>
      <c r="M433" s="36"/>
      <c r="O433" s="8"/>
      <c r="P433" s="8"/>
    </row>
    <row r="434" spans="1:16" ht="12.75">
      <c r="A434" s="45" t="s">
        <v>94</v>
      </c>
      <c r="B434" s="20"/>
      <c r="C434" s="36">
        <f>SUM(C428:C433)/5</f>
        <v>2490.94</v>
      </c>
      <c r="D434" s="36">
        <f>SUM(D428:D433)/5</f>
        <v>0</v>
      </c>
      <c r="E434" s="36">
        <f>SUM(E428:E433)/5</f>
        <v>2490.94</v>
      </c>
      <c r="F434" s="36">
        <f>SUM(F428:F433)/5</f>
        <v>14429.822558610636</v>
      </c>
      <c r="H434" s="36"/>
      <c r="I434" s="36">
        <f>SUM(I428:I433)/5</f>
        <v>278.92587566895656</v>
      </c>
      <c r="J434" s="36">
        <f>SUM(J428:J433)/5</f>
        <v>0</v>
      </c>
      <c r="K434" s="36">
        <f>SUM(K428:K433)/5</f>
        <v>278.92587566895656</v>
      </c>
      <c r="L434" s="36">
        <f>SUM(L428:L433)/5</f>
        <v>18029.237901539076</v>
      </c>
      <c r="M434" s="36">
        <f>SUM(M428:M433)/5</f>
        <v>32459.06046014971</v>
      </c>
      <c r="O434" s="4">
        <f>F434/M434</f>
        <v>0.44455453589996125</v>
      </c>
      <c r="P434" s="4">
        <f>L434/M434</f>
        <v>0.5554454641000388</v>
      </c>
    </row>
    <row r="435" spans="1:16" ht="12.75">
      <c r="A435" s="45"/>
      <c r="B435" s="20"/>
      <c r="C435" s="36"/>
      <c r="D435" s="36"/>
      <c r="E435" s="36"/>
      <c r="F435" s="36"/>
      <c r="H435" s="36"/>
      <c r="I435" s="36"/>
      <c r="J435" s="36"/>
      <c r="K435" s="36"/>
      <c r="L435" s="36"/>
      <c r="M435" s="36"/>
      <c r="O435" s="8"/>
      <c r="P435" s="8"/>
    </row>
    <row r="436" spans="1:16" ht="12.75">
      <c r="A436" s="45">
        <v>1501</v>
      </c>
      <c r="B436" s="20"/>
      <c r="C436" s="34">
        <v>3567.04</v>
      </c>
      <c r="D436" s="34"/>
      <c r="E436" s="34">
        <f>C436+D436</f>
        <v>3567.04</v>
      </c>
      <c r="F436" s="34">
        <f>5.79292257485553*E436</f>
        <v>20663.58654141267</v>
      </c>
      <c r="H436" s="36">
        <v>1040.177</v>
      </c>
      <c r="I436" s="34">
        <f>H436*0.373241712*(23.875/24)</f>
        <v>386.2153742408207</v>
      </c>
      <c r="J436" s="34"/>
      <c r="K436" s="34">
        <f>I436+J436</f>
        <v>386.2153742408207</v>
      </c>
      <c r="L436" s="34">
        <f>64.6380973378644*K436</f>
        <v>24964.226953557896</v>
      </c>
      <c r="M436" s="34">
        <f>F436+L436</f>
        <v>45627.81349497057</v>
      </c>
      <c r="O436" s="4">
        <f>F436/M436</f>
        <v>0.4528726002548941</v>
      </c>
      <c r="P436" s="4">
        <f>L436/M436</f>
        <v>0.5471273997451058</v>
      </c>
    </row>
    <row r="437" spans="1:16" ht="12.75">
      <c r="A437" s="45">
        <v>1502</v>
      </c>
      <c r="B437" s="20"/>
      <c r="C437" s="34">
        <v>3220.76</v>
      </c>
      <c r="D437" s="34"/>
      <c r="E437" s="34">
        <f>C437+D437</f>
        <v>3220.76</v>
      </c>
      <c r="F437" s="34">
        <f>5.79292257485553*E437</f>
        <v>18657.613312191697</v>
      </c>
      <c r="H437" s="36">
        <v>1232.083</v>
      </c>
      <c r="I437" s="34">
        <f>H437*0.373241712*(23.875/24)</f>
        <v>457.4696392448143</v>
      </c>
      <c r="J437" s="34"/>
      <c r="K437" s="34">
        <f>I437+J437</f>
        <v>457.4696392448143</v>
      </c>
      <c r="L437" s="34">
        <f>64.6380973378644*K437</f>
        <v>29569.967070624014</v>
      </c>
      <c r="M437" s="34">
        <f>F437+L437</f>
        <v>48227.58038281571</v>
      </c>
      <c r="O437" s="4">
        <f>F437/M437</f>
        <v>0.3868660456131802</v>
      </c>
      <c r="P437" s="4">
        <f>L437/M437</f>
        <v>0.6131339543868198</v>
      </c>
    </row>
    <row r="438" spans="1:16" ht="12.75">
      <c r="A438" s="45">
        <v>1503</v>
      </c>
      <c r="B438" s="20"/>
      <c r="C438" s="34">
        <v>2516.02</v>
      </c>
      <c r="D438" s="34"/>
      <c r="E438" s="34">
        <f>C438+D438</f>
        <v>2516.02</v>
      </c>
      <c r="F438" s="34">
        <f>5.79292257485553*E438</f>
        <v>14575.109056788011</v>
      </c>
      <c r="H438" s="36">
        <v>1192.594</v>
      </c>
      <c r="I438" s="34">
        <f>H438*0.373241712*(23.875/24)</f>
        <v>442.8074626023815</v>
      </c>
      <c r="J438" s="34"/>
      <c r="K438" s="34">
        <f>I438+J438</f>
        <v>442.8074626023815</v>
      </c>
      <c r="L438" s="34">
        <f>64.6380973378644*K438</f>
        <v>28622.231869625484</v>
      </c>
      <c r="M438" s="34">
        <f>F438+L438</f>
        <v>43197.3409264135</v>
      </c>
      <c r="O438" s="4">
        <f>F438/M438</f>
        <v>0.3374075520439245</v>
      </c>
      <c r="P438" s="4">
        <f>L438/M438</f>
        <v>0.6625924479560755</v>
      </c>
    </row>
    <row r="439" spans="1:16" ht="12.75">
      <c r="A439" s="45">
        <v>1504</v>
      </c>
      <c r="B439" s="20"/>
      <c r="C439" s="34">
        <v>4470.39</v>
      </c>
      <c r="D439" s="34"/>
      <c r="E439" s="34">
        <f>C439+D439</f>
        <v>4470.39</v>
      </c>
      <c r="F439" s="34">
        <f>5.79292257485553*E439</f>
        <v>25896.623149408417</v>
      </c>
      <c r="H439" s="36">
        <v>1511.74</v>
      </c>
      <c r="I439" s="34">
        <f>H439*0.373241712*(23.875/24)</f>
        <v>561.305652648365</v>
      </c>
      <c r="J439" s="34"/>
      <c r="K439" s="34">
        <f>I439+J439</f>
        <v>561.305652648365</v>
      </c>
      <c r="L439" s="34">
        <f>64.6380973378644*K439</f>
        <v>36281.729412178516</v>
      </c>
      <c r="M439" s="34">
        <f>F439+L439</f>
        <v>62178.35256158693</v>
      </c>
      <c r="O439" s="4">
        <f>F439/M439</f>
        <v>0.41648937423612364</v>
      </c>
      <c r="P439" s="4">
        <f>L439/M439</f>
        <v>0.5835106257638764</v>
      </c>
    </row>
    <row r="440" spans="1:16" ht="12.75">
      <c r="A440" s="45">
        <v>1505</v>
      </c>
      <c r="B440" s="20"/>
      <c r="C440" s="34">
        <v>7793.51</v>
      </c>
      <c r="D440" s="34"/>
      <c r="E440" s="34">
        <f>C440+D440</f>
        <v>7793.51</v>
      </c>
      <c r="F440" s="34">
        <f>5.79292257485553*E440</f>
        <v>45147.20001636232</v>
      </c>
      <c r="H440" s="36">
        <v>1980.135</v>
      </c>
      <c r="I440" s="34">
        <f>H440*0.373241712*(23.875/24)</f>
        <v>735.2196598005413</v>
      </c>
      <c r="J440" s="34"/>
      <c r="K440" s="34">
        <f>I440+J440</f>
        <v>735.2196598005413</v>
      </c>
      <c r="L440" s="34">
        <f>64.6380973378644*K440</f>
        <v>47523.199934898934</v>
      </c>
      <c r="M440" s="34">
        <f>F440+L440</f>
        <v>92670.39995126126</v>
      </c>
      <c r="O440" s="4">
        <f>F440/M440</f>
        <v>0.4871803730220964</v>
      </c>
      <c r="P440" s="4">
        <f>L440/M440</f>
        <v>0.5128196269779035</v>
      </c>
    </row>
    <row r="441" spans="1:16" ht="12.75">
      <c r="A441" s="45"/>
      <c r="B441" s="20"/>
      <c r="C441" s="36"/>
      <c r="D441" s="36"/>
      <c r="E441" s="36"/>
      <c r="F441" s="36"/>
      <c r="H441" s="36"/>
      <c r="I441" s="36"/>
      <c r="J441" s="36"/>
      <c r="K441" s="36"/>
      <c r="L441" s="36"/>
      <c r="M441" s="36"/>
      <c r="O441" s="8"/>
      <c r="P441" s="8"/>
    </row>
    <row r="442" spans="1:16" ht="12.75">
      <c r="A442" s="45" t="s">
        <v>96</v>
      </c>
      <c r="B442" s="20"/>
      <c r="C442" s="36">
        <f>SUM(C436:C441)/5</f>
        <v>4313.544</v>
      </c>
      <c r="D442" s="36">
        <f>SUM(D436:D441)/5</f>
        <v>0</v>
      </c>
      <c r="E442" s="36">
        <f>SUM(E436:E441)/5</f>
        <v>4313.544</v>
      </c>
      <c r="F442" s="36">
        <f>SUM(F436:F441)/5</f>
        <v>24988.02641523262</v>
      </c>
      <c r="H442" s="36"/>
      <c r="I442" s="36">
        <f>SUM(I436:I441)/5</f>
        <v>516.6035577073845</v>
      </c>
      <c r="J442" s="36"/>
      <c r="K442" s="36">
        <f>SUM(K436:K441)/5</f>
        <v>516.6035577073845</v>
      </c>
      <c r="L442" s="36">
        <f>SUM(L436:L441)/5</f>
        <v>33392.27104817697</v>
      </c>
      <c r="M442" s="36">
        <f>SUM(M436:M441)/5</f>
        <v>58380.2974634096</v>
      </c>
      <c r="O442" s="4">
        <f>F442/M442</f>
        <v>0.42802156722298473</v>
      </c>
      <c r="P442" s="4">
        <f>L442/M442</f>
        <v>0.571978432777015</v>
      </c>
    </row>
    <row r="443" spans="1:16" ht="12.75">
      <c r="A443" s="45"/>
      <c r="B443" s="20"/>
      <c r="C443" s="36"/>
      <c r="D443" s="36"/>
      <c r="E443" s="36"/>
      <c r="F443" s="36"/>
      <c r="H443" s="36"/>
      <c r="I443" s="36"/>
      <c r="J443" s="36"/>
      <c r="K443" s="36"/>
      <c r="L443" s="36"/>
      <c r="M443" s="36"/>
      <c r="O443" s="8"/>
      <c r="P443" s="8"/>
    </row>
    <row r="444" spans="1:16" ht="12.75">
      <c r="A444" s="45">
        <v>1506</v>
      </c>
      <c r="B444" s="20"/>
      <c r="C444" s="34">
        <v>6648.43</v>
      </c>
      <c r="D444" s="34"/>
      <c r="E444" s="34">
        <f>C444+D444</f>
        <v>6648.43</v>
      </c>
      <c r="F444" s="34">
        <f>5.79292257485553*E444</f>
        <v>38513.84023434675</v>
      </c>
      <c r="H444" s="36">
        <v>3981.385</v>
      </c>
      <c r="I444" s="34">
        <f>H444*0.373241712*(23.875/24)</f>
        <v>1478.2792714814789</v>
      </c>
      <c r="J444" s="34"/>
      <c r="K444" s="34">
        <f>I444+J444</f>
        <v>1478.2792714814789</v>
      </c>
      <c r="L444" s="34">
        <f>64.6380973378644*K444</f>
        <v>95553.15944256709</v>
      </c>
      <c r="M444" s="34">
        <f>F444+L444</f>
        <v>134066.99967691384</v>
      </c>
      <c r="O444" s="4">
        <f>F444/M444</f>
        <v>0.28727308231824916</v>
      </c>
      <c r="P444" s="4">
        <f>L444/M444</f>
        <v>0.7127269176817509</v>
      </c>
    </row>
    <row r="445" spans="1:16" ht="12.75">
      <c r="A445" s="45">
        <v>1507</v>
      </c>
      <c r="B445" s="20"/>
      <c r="C445" s="34">
        <v>5230.92</v>
      </c>
      <c r="D445" s="34"/>
      <c r="E445" s="34">
        <f>C445+D445</f>
        <v>5230.92</v>
      </c>
      <c r="F445" s="34">
        <f>5.79292257485553*E445</f>
        <v>30302.31455526329</v>
      </c>
      <c r="H445" s="36">
        <v>3566.99</v>
      </c>
      <c r="I445" s="34">
        <f>H445*0.373241712*(23.875/24)</f>
        <v>1324.4153425458026</v>
      </c>
      <c r="J445" s="34"/>
      <c r="K445" s="34">
        <f>I445+J445</f>
        <v>1324.4153425458026</v>
      </c>
      <c r="L445" s="34">
        <f>64.6380973378644*K445</f>
        <v>85607.6878272366</v>
      </c>
      <c r="M445" s="34">
        <f>F445+L445</f>
        <v>115910.0023824999</v>
      </c>
      <c r="O445" s="4">
        <f>F445/M445</f>
        <v>0.2614296776154526</v>
      </c>
      <c r="P445" s="4">
        <f>L445/M445</f>
        <v>0.7385703223845473</v>
      </c>
    </row>
    <row r="446" spans="1:16" ht="12.75">
      <c r="A446" s="45">
        <v>1508</v>
      </c>
      <c r="B446" s="20"/>
      <c r="C446" s="34">
        <v>4140.77</v>
      </c>
      <c r="D446" s="34"/>
      <c r="E446" s="34">
        <f>C446+D446</f>
        <v>4140.77</v>
      </c>
      <c r="F446" s="34">
        <f>5.79292257485553*E446</f>
        <v>23987.160010284537</v>
      </c>
      <c r="H446" s="36">
        <v>5112.146</v>
      </c>
      <c r="I446" s="34">
        <f>H446*0.373241712*(23.875/24)</f>
        <v>1898.1282806327333</v>
      </c>
      <c r="J446" s="34"/>
      <c r="K446" s="34">
        <f>I446+J446</f>
        <v>1898.1282806327333</v>
      </c>
      <c r="L446" s="34">
        <f>64.6380973378644*K446</f>
        <v>122691.4005632918</v>
      </c>
      <c r="M446" s="34">
        <f>F446+L446</f>
        <v>146678.56057357634</v>
      </c>
      <c r="O446" s="4">
        <f>F446/M446</f>
        <v>0.16353555636545936</v>
      </c>
      <c r="P446" s="4">
        <f>L446/M446</f>
        <v>0.8364644436345406</v>
      </c>
    </row>
    <row r="447" spans="1:16" ht="12.75">
      <c r="A447" s="45">
        <v>1509</v>
      </c>
      <c r="B447" s="20"/>
      <c r="C447" s="34">
        <v>1595.34</v>
      </c>
      <c r="D447" s="34"/>
      <c r="E447" s="34">
        <f>C447+D447</f>
        <v>1595.34</v>
      </c>
      <c r="F447" s="34">
        <f>5.79292257485553*E447</f>
        <v>9241.681100570022</v>
      </c>
      <c r="H447" s="36">
        <v>4968.792</v>
      </c>
      <c r="I447" s="34">
        <f>H447*0.373241712*(23.875/24)</f>
        <v>1844.9012637318422</v>
      </c>
      <c r="J447" s="34"/>
      <c r="K447" s="34">
        <f>I447+J447</f>
        <v>1844.9012637318422</v>
      </c>
      <c r="L447" s="34">
        <f>64.6380973378644*K447</f>
        <v>119250.90746384785</v>
      </c>
      <c r="M447" s="34">
        <f>F447+L447</f>
        <v>128492.58856441788</v>
      </c>
      <c r="O447" s="4">
        <f>F447/M447</f>
        <v>0.07192384559936577</v>
      </c>
      <c r="P447" s="4">
        <f>L447/M447</f>
        <v>0.9280761544006342</v>
      </c>
    </row>
    <row r="448" spans="1:16" ht="12.75">
      <c r="A448" s="45">
        <v>1510</v>
      </c>
      <c r="B448" s="20"/>
      <c r="C448" s="34">
        <v>550.6</v>
      </c>
      <c r="D448" s="34"/>
      <c r="E448" s="34">
        <f>C448+D448</f>
        <v>550.6</v>
      </c>
      <c r="F448" s="34">
        <f>5.79292257485553*E448</f>
        <v>3189.583169715455</v>
      </c>
      <c r="H448" s="36">
        <v>2881.385</v>
      </c>
      <c r="I448" s="34">
        <f>H448*0.373241712*(23.875/24)</f>
        <v>1069.8517522564787</v>
      </c>
      <c r="J448" s="34"/>
      <c r="K448" s="34">
        <f>I448+J448</f>
        <v>1069.8517522564787</v>
      </c>
      <c r="L448" s="34">
        <f>64.6380973378644*K448</f>
        <v>69153.18169943905</v>
      </c>
      <c r="M448" s="34">
        <f>F448+L448</f>
        <v>72342.7648691545</v>
      </c>
      <c r="O448" s="4">
        <f>F448/M448</f>
        <v>0.04408987098411867</v>
      </c>
      <c r="P448" s="4">
        <f>L448/M448</f>
        <v>0.9559101290158813</v>
      </c>
    </row>
    <row r="449" spans="1:16" ht="12.75">
      <c r="A449" s="45"/>
      <c r="B449" s="20"/>
      <c r="C449" s="36"/>
      <c r="D449" s="36"/>
      <c r="E449" s="36"/>
      <c r="F449" s="36"/>
      <c r="H449" s="36"/>
      <c r="I449" s="36"/>
      <c r="J449" s="36"/>
      <c r="K449" s="36"/>
      <c r="L449" s="36"/>
      <c r="M449" s="36"/>
      <c r="O449" s="8"/>
      <c r="P449" s="8"/>
    </row>
    <row r="450" spans="1:16" ht="12.75">
      <c r="A450" s="45" t="s">
        <v>98</v>
      </c>
      <c r="B450" s="20"/>
      <c r="C450" s="36">
        <f>SUM(C444:C449)/5</f>
        <v>3633.2119999999995</v>
      </c>
      <c r="D450" s="36">
        <f>SUM(D444:D449)/5</f>
        <v>0</v>
      </c>
      <c r="E450" s="36">
        <f>SUM(E444:E449)/5</f>
        <v>3633.2119999999995</v>
      </c>
      <c r="F450" s="36">
        <f>SUM(F444:F449)/5</f>
        <v>21046.91581403601</v>
      </c>
      <c r="H450" s="36"/>
      <c r="I450" s="36">
        <f>SUM(I444:I449)/5</f>
        <v>1523.1151821296671</v>
      </c>
      <c r="J450" s="36"/>
      <c r="K450" s="36">
        <f>SUM(K444:K449)/5</f>
        <v>1523.1151821296671</v>
      </c>
      <c r="L450" s="36">
        <f>SUM(L444:L449)/5</f>
        <v>98451.26739927648</v>
      </c>
      <c r="M450" s="36">
        <f>SUM(M444:M449)/5</f>
        <v>119498.1832133125</v>
      </c>
      <c r="O450" s="4">
        <f>F450/M450</f>
        <v>0.17612749623536797</v>
      </c>
      <c r="P450" s="4">
        <f>L450/M450</f>
        <v>0.823872503764632</v>
      </c>
    </row>
    <row r="451" spans="1:16" ht="12.75">
      <c r="A451" s="45"/>
      <c r="B451" s="20"/>
      <c r="C451" s="36"/>
      <c r="D451" s="36"/>
      <c r="E451" s="36"/>
      <c r="F451" s="36"/>
      <c r="H451" s="36"/>
      <c r="I451" s="36"/>
      <c r="J451" s="36"/>
      <c r="K451" s="36"/>
      <c r="L451" s="36"/>
      <c r="M451" s="36"/>
      <c r="O451" s="8"/>
      <c r="P451" s="8"/>
    </row>
    <row r="452" spans="1:16" ht="12.75">
      <c r="A452" s="45">
        <v>1511</v>
      </c>
      <c r="B452" s="20"/>
      <c r="C452" s="34">
        <v>198.36</v>
      </c>
      <c r="D452" s="34"/>
      <c r="E452" s="34">
        <f>C452+D452</f>
        <v>198.36</v>
      </c>
      <c r="F452" s="34">
        <f>5.79292257485553*E452</f>
        <v>1149.084121948343</v>
      </c>
      <c r="H452" s="36">
        <v>2103.646</v>
      </c>
      <c r="I452" s="34">
        <f>H452*0.373241712*(23.875/24)</f>
        <v>781.0790155523586</v>
      </c>
      <c r="J452" s="34"/>
      <c r="K452" s="34">
        <f>I452+J452</f>
        <v>781.0790155523586</v>
      </c>
      <c r="L452" s="34">
        <f>64.6380973378644*K452</f>
        <v>50487.46143583665</v>
      </c>
      <c r="M452" s="34">
        <f>F452+L452</f>
        <v>51636.54555778499</v>
      </c>
      <c r="O452" s="4">
        <f>F452/M452</f>
        <v>0.022253311284397125</v>
      </c>
      <c r="P452" s="4">
        <f>L452/M452</f>
        <v>0.9777466887156029</v>
      </c>
    </row>
    <row r="453" spans="1:16" ht="12.75">
      <c r="A453" s="45">
        <v>1512</v>
      </c>
      <c r="B453" s="20"/>
      <c r="C453" s="34">
        <v>1792.44</v>
      </c>
      <c r="D453" s="34"/>
      <c r="E453" s="34">
        <f>C453+D453</f>
        <v>1792.44</v>
      </c>
      <c r="F453" s="34">
        <f>5.79292257485553*E453</f>
        <v>10383.466140074046</v>
      </c>
      <c r="H453" s="36">
        <v>1121.938</v>
      </c>
      <c r="I453" s="34">
        <f>H453*0.373241712*(23.875/24)</f>
        <v>416.5730491493255</v>
      </c>
      <c r="J453" s="34"/>
      <c r="K453" s="34">
        <f>I453+J453</f>
        <v>416.5730491493255</v>
      </c>
      <c r="L453" s="34">
        <f>64.6380973378644*K453</f>
        <v>26926.489299245073</v>
      </c>
      <c r="M453" s="34">
        <f>F453+L453</f>
        <v>37309.95543931912</v>
      </c>
      <c r="O453" s="4">
        <f>F453/M453</f>
        <v>0.2783028287707742</v>
      </c>
      <c r="P453" s="4">
        <f>L453/M453</f>
        <v>0.7216971712292257</v>
      </c>
    </row>
    <row r="454" spans="1:16" ht="12.75">
      <c r="A454" s="45">
        <v>1513</v>
      </c>
      <c r="B454" s="20"/>
      <c r="C454" s="34">
        <v>2341.33</v>
      </c>
      <c r="D454" s="34"/>
      <c r="E454" s="34">
        <f>C454+D454</f>
        <v>2341.33</v>
      </c>
      <c r="F454" s="34">
        <f>5.79292257485553*E454</f>
        <v>13563.143412186499</v>
      </c>
      <c r="H454" s="36">
        <v>3047.792</v>
      </c>
      <c r="I454" s="34">
        <f>H454*0.373241712*(23.875/24)</f>
        <v>1131.638296067092</v>
      </c>
      <c r="J454" s="34"/>
      <c r="K454" s="34">
        <f>I454+J454</f>
        <v>1131.638296067092</v>
      </c>
      <c r="L454" s="34">
        <f>64.6380973378644*K454</f>
        <v>73146.9463324397</v>
      </c>
      <c r="M454" s="34">
        <f>F454+L454</f>
        <v>86710.0897446262</v>
      </c>
      <c r="O454" s="4">
        <f>F454/M454</f>
        <v>0.15641943690903706</v>
      </c>
      <c r="P454" s="4">
        <f>L454/M454</f>
        <v>0.8435805630909629</v>
      </c>
    </row>
    <row r="455" spans="1:16" ht="12.75">
      <c r="A455" s="45">
        <v>1514</v>
      </c>
      <c r="B455" s="20"/>
      <c r="C455" s="34">
        <v>936.1</v>
      </c>
      <c r="D455" s="34"/>
      <c r="E455" s="34">
        <f>C455+D455</f>
        <v>936.1</v>
      </c>
      <c r="F455" s="34">
        <f>5.79292257485553*E455</f>
        <v>5422.754822322262</v>
      </c>
      <c r="H455" s="36">
        <v>1330.802</v>
      </c>
      <c r="I455" s="34">
        <f>H455*0.373241712*(23.875/24)</f>
        <v>494.1237813087895</v>
      </c>
      <c r="J455" s="34"/>
      <c r="K455" s="34">
        <f>I455+J455</f>
        <v>494.1237813087895</v>
      </c>
      <c r="L455" s="34">
        <f>64.6380973378644*K455</f>
        <v>31939.221073191155</v>
      </c>
      <c r="M455" s="34">
        <f>F455+L455</f>
        <v>37361.97589551342</v>
      </c>
      <c r="O455" s="4">
        <f>F455/M455</f>
        <v>0.14514100746404715</v>
      </c>
      <c r="P455" s="4">
        <f>L455/M455</f>
        <v>0.8548589925359529</v>
      </c>
    </row>
    <row r="456" spans="1:16" ht="12.75">
      <c r="A456" s="45">
        <v>1515</v>
      </c>
      <c r="B456" s="20"/>
      <c r="C456" s="34">
        <v>176.83</v>
      </c>
      <c r="D456" s="34"/>
      <c r="E456" s="34">
        <f>C456+D456</f>
        <v>176.83</v>
      </c>
      <c r="F456" s="34">
        <f>5.79292257485553*E456</f>
        <v>1024.3624989117034</v>
      </c>
      <c r="H456" s="36">
        <v>1749.489</v>
      </c>
      <c r="I456" s="34">
        <f>H456*0.373241712*(23.875/24)</f>
        <v>649.5813201649327</v>
      </c>
      <c r="J456" s="34"/>
      <c r="K456" s="34">
        <f>I456+J456</f>
        <v>649.5813201649327</v>
      </c>
      <c r="L456" s="34">
        <f>64.6380973378644*K456</f>
        <v>41987.700601679375</v>
      </c>
      <c r="M456" s="34">
        <f>F456+L456</f>
        <v>43012.06310059108</v>
      </c>
      <c r="O456" s="4">
        <f>F456/M456</f>
        <v>0.02381570250457543</v>
      </c>
      <c r="P456" s="4">
        <f>L456/M456</f>
        <v>0.9761842974954246</v>
      </c>
    </row>
    <row r="457" spans="1:16" ht="12.75">
      <c r="A457" s="45"/>
      <c r="B457" s="20"/>
      <c r="C457" s="36"/>
      <c r="D457" s="34"/>
      <c r="E457" s="36"/>
      <c r="F457" s="36"/>
      <c r="H457" s="36"/>
      <c r="I457" s="36"/>
      <c r="J457" s="36"/>
      <c r="K457" s="36"/>
      <c r="L457" s="36"/>
      <c r="M457" s="36"/>
      <c r="O457" s="8"/>
      <c r="P457" s="8"/>
    </row>
    <row r="458" spans="1:16" ht="12.75">
      <c r="A458" s="45" t="s">
        <v>100</v>
      </c>
      <c r="B458" s="20"/>
      <c r="C458" s="36">
        <f>SUM(C452:C457)/5</f>
        <v>1089.0120000000002</v>
      </c>
      <c r="D458" s="36">
        <f>SUM(D452:D457)/5</f>
        <v>0</v>
      </c>
      <c r="E458" s="36">
        <f>SUM(E452:E457)/5</f>
        <v>1089.0120000000002</v>
      </c>
      <c r="F458" s="36">
        <f>SUM(F452:F457)/5</f>
        <v>6308.56219908857</v>
      </c>
      <c r="H458" s="36"/>
      <c r="I458" s="36">
        <f>SUM(I452:I457)/5</f>
        <v>694.5990924484996</v>
      </c>
      <c r="J458" s="36"/>
      <c r="K458" s="36">
        <f>SUM(K452:K457)/5</f>
        <v>694.5990924484996</v>
      </c>
      <c r="L458" s="36">
        <f>SUM(L452:L457)/5</f>
        <v>44897.56374847839</v>
      </c>
      <c r="M458" s="36">
        <f>SUM(M452:M457)/5</f>
        <v>51206.12594756696</v>
      </c>
      <c r="O458" s="4">
        <f>F458/M458</f>
        <v>0.12319936496559587</v>
      </c>
      <c r="P458" s="4">
        <f>L458/M458</f>
        <v>0.8768006350344041</v>
      </c>
    </row>
    <row r="459" spans="1:16" ht="12.75">
      <c r="A459" s="45"/>
      <c r="B459" s="20"/>
      <c r="C459" s="36"/>
      <c r="D459" s="34"/>
      <c r="E459" s="36"/>
      <c r="F459" s="36"/>
      <c r="H459" s="36"/>
      <c r="I459" s="36"/>
      <c r="J459" s="36"/>
      <c r="K459" s="36"/>
      <c r="L459" s="36"/>
      <c r="M459" s="36"/>
      <c r="O459" s="8"/>
      <c r="P459" s="8"/>
    </row>
    <row r="460" spans="1:16" ht="12.75">
      <c r="A460" s="45">
        <v>1516</v>
      </c>
      <c r="B460" s="20"/>
      <c r="C460" s="34">
        <v>31.19</v>
      </c>
      <c r="D460" s="34"/>
      <c r="E460" s="34">
        <f>C460+D460</f>
        <v>31.19</v>
      </c>
      <c r="F460" s="34">
        <f>5.79292257485553*E460</f>
        <v>180.681255109744</v>
      </c>
      <c r="H460" s="36">
        <v>2230.375</v>
      </c>
      <c r="I460" s="34">
        <f>H460*0.373241712*(23.875/24)</f>
        <v>828.1332074467813</v>
      </c>
      <c r="J460" s="34"/>
      <c r="K460" s="34">
        <f>I460+J460</f>
        <v>828.1332074467813</v>
      </c>
      <c r="L460" s="34">
        <f>64.6380973378644*K460</f>
        <v>53528.95487166289</v>
      </c>
      <c r="M460" s="34">
        <f>F460+L460</f>
        <v>53709.63612677264</v>
      </c>
      <c r="O460" s="4">
        <f>F460/M460</f>
        <v>0.003364037966730514</v>
      </c>
      <c r="P460" s="4">
        <f>L460/M460</f>
        <v>0.9966359620332694</v>
      </c>
    </row>
    <row r="461" spans="1:16" ht="12.75">
      <c r="A461" s="45">
        <v>1517</v>
      </c>
      <c r="B461" s="20"/>
      <c r="C461" s="34">
        <f>(C460+C462)/2</f>
        <v>102.035</v>
      </c>
      <c r="D461" s="34"/>
      <c r="E461" s="34">
        <f>C461+D461</f>
        <v>102.035</v>
      </c>
      <c r="F461" s="34">
        <f>5.79292257485553*E461</f>
        <v>591.080854925384</v>
      </c>
      <c r="H461" s="34">
        <f>(H460+H462)/2</f>
        <v>2071.3175</v>
      </c>
      <c r="I461" s="34">
        <f>H461*0.373241712*(23.875/24)</f>
        <v>769.0755164112081</v>
      </c>
      <c r="J461" s="34"/>
      <c r="K461" s="34">
        <f>I461+J461</f>
        <v>769.0755164112081</v>
      </c>
      <c r="L461" s="34">
        <f>64.6380973378644*K461</f>
        <v>49711.578089956</v>
      </c>
      <c r="M461" s="34">
        <f>F461+L461</f>
        <v>50302.65894488138</v>
      </c>
      <c r="O461" s="4">
        <f>F461/M461</f>
        <v>0.011750489284732536</v>
      </c>
      <c r="P461" s="4">
        <f>L461/M461</f>
        <v>0.9882495107152675</v>
      </c>
    </row>
    <row r="462" spans="1:16" ht="12.75">
      <c r="A462" s="45">
        <v>1518</v>
      </c>
      <c r="B462" s="20"/>
      <c r="C462" s="34">
        <v>172.88</v>
      </c>
      <c r="D462" s="34"/>
      <c r="E462" s="34">
        <f>C462+D462</f>
        <v>172.88</v>
      </c>
      <c r="F462" s="34">
        <f>5.79292257485553*E462</f>
        <v>1001.480454741024</v>
      </c>
      <c r="H462" s="36">
        <v>1912.26</v>
      </c>
      <c r="I462" s="34">
        <f>H462*0.373241712*(23.875/24)</f>
        <v>710.017825375635</v>
      </c>
      <c r="J462" s="34"/>
      <c r="K462" s="34">
        <f>I462+J462</f>
        <v>710.017825375635</v>
      </c>
      <c r="L462" s="34">
        <f>64.6380973378644*K462</f>
        <v>45894.201308249096</v>
      </c>
      <c r="M462" s="34">
        <f>F462+L462</f>
        <v>46895.68176299012</v>
      </c>
      <c r="O462" s="4">
        <f>F462/M462</f>
        <v>0.021355494090105932</v>
      </c>
      <c r="P462" s="4">
        <f>L462/M462</f>
        <v>0.978644505909894</v>
      </c>
    </row>
    <row r="463" spans="1:16" ht="12.75">
      <c r="A463" s="45">
        <v>1519</v>
      </c>
      <c r="B463" s="20"/>
      <c r="C463" s="34">
        <v>78.41</v>
      </c>
      <c r="D463" s="34"/>
      <c r="E463" s="34">
        <f>C463+D463</f>
        <v>78.41</v>
      </c>
      <c r="F463" s="34">
        <f>5.79292257485553*E463</f>
        <v>454.2230590944221</v>
      </c>
      <c r="H463" s="36">
        <v>2288.729</v>
      </c>
      <c r="I463" s="34">
        <f>H463*0.373241712*(23.875/24)</f>
        <v>849.7999160439226</v>
      </c>
      <c r="J463" s="34"/>
      <c r="K463" s="34">
        <f>I463+J463</f>
        <v>849.7999160439226</v>
      </c>
      <c r="L463" s="34">
        <f>64.6380973378644*K463</f>
        <v>54929.44969095606</v>
      </c>
      <c r="M463" s="34">
        <f>F463+L463</f>
        <v>55383.672750050486</v>
      </c>
      <c r="O463" s="4">
        <f>F463/M463</f>
        <v>0.008201389264022908</v>
      </c>
      <c r="P463" s="4">
        <f>L463/M463</f>
        <v>0.9917986107359771</v>
      </c>
    </row>
    <row r="464" spans="1:16" ht="12.75">
      <c r="A464" s="45">
        <v>1520</v>
      </c>
      <c r="B464" s="20"/>
      <c r="C464" s="34">
        <v>11.21</v>
      </c>
      <c r="D464" s="34"/>
      <c r="E464" s="34">
        <f>C464+D464</f>
        <v>11.21</v>
      </c>
      <c r="F464" s="34">
        <f>5.79292257485553*E464</f>
        <v>64.9386620641305</v>
      </c>
      <c r="H464" s="36">
        <v>1511.604</v>
      </c>
      <c r="I464" s="34">
        <f>H464*0.373241712*(23.875/24)</f>
        <v>561.255156155079</v>
      </c>
      <c r="J464" s="34"/>
      <c r="K464" s="34">
        <f>I464+J464</f>
        <v>561.255156155079</v>
      </c>
      <c r="L464" s="34">
        <f>64.6380973378644*K464</f>
        <v>36278.46541493028</v>
      </c>
      <c r="M464" s="34">
        <f>F464+L464</f>
        <v>36343.40407699441</v>
      </c>
      <c r="O464" s="4">
        <f>F464/M464</f>
        <v>0.0017868073647299607</v>
      </c>
      <c r="P464" s="4">
        <f>L464/M464</f>
        <v>0.9982131926352701</v>
      </c>
    </row>
    <row r="465" spans="1:16" ht="12.75">
      <c r="A465" s="45"/>
      <c r="B465" s="20"/>
      <c r="C465" s="36"/>
      <c r="D465" s="34"/>
      <c r="E465" s="36"/>
      <c r="F465" s="36"/>
      <c r="H465" s="36"/>
      <c r="I465" s="36"/>
      <c r="J465" s="36"/>
      <c r="K465" s="36"/>
      <c r="L465" s="36"/>
      <c r="M465" s="36"/>
      <c r="O465" s="8"/>
      <c r="P465" s="8"/>
    </row>
    <row r="466" spans="1:16" ht="12.75">
      <c r="A466" s="45" t="s">
        <v>101</v>
      </c>
      <c r="B466" s="20"/>
      <c r="C466" s="36">
        <f>SUM(C460:C465)/5</f>
        <v>79.145</v>
      </c>
      <c r="D466" s="36">
        <f>SUM(D460:D465)/5</f>
        <v>0</v>
      </c>
      <c r="E466" s="36">
        <f>SUM(E460:E465)/5</f>
        <v>79.145</v>
      </c>
      <c r="F466" s="36">
        <f>SUM(F460:F465)/5</f>
        <v>458.4808571869409</v>
      </c>
      <c r="H466" s="36"/>
      <c r="I466" s="36">
        <f>SUM(I460:I465)/5</f>
        <v>743.6563242865252</v>
      </c>
      <c r="J466" s="36"/>
      <c r="K466" s="36">
        <f>SUM(K460:K465)/5</f>
        <v>743.6563242865252</v>
      </c>
      <c r="L466" s="36">
        <f>SUM(L460:L465)/5</f>
        <v>48068.52987515087</v>
      </c>
      <c r="M466" s="36">
        <f>SUM(M460:M465)/5</f>
        <v>48527.01073233781</v>
      </c>
      <c r="O466" s="4">
        <f>F466/M466</f>
        <v>0.00944795177505988</v>
      </c>
      <c r="P466" s="4">
        <f>L466/M466</f>
        <v>0.99055204822494</v>
      </c>
    </row>
    <row r="467" spans="1:16" ht="12.75">
      <c r="A467" s="45"/>
      <c r="B467" s="20"/>
      <c r="C467" s="36"/>
      <c r="D467" s="34"/>
      <c r="E467" s="36"/>
      <c r="F467" s="36"/>
      <c r="H467" s="36"/>
      <c r="I467" s="36"/>
      <c r="J467" s="36"/>
      <c r="K467" s="36"/>
      <c r="L467" s="36"/>
      <c r="M467" s="36"/>
      <c r="O467" s="8"/>
      <c r="P467" s="8"/>
    </row>
    <row r="468" spans="1:16" ht="12.75">
      <c r="A468" s="45">
        <v>1521</v>
      </c>
      <c r="B468" s="20"/>
      <c r="C468" s="34">
        <v>256.46</v>
      </c>
      <c r="D468" s="34"/>
      <c r="E468" s="34">
        <f>C468+D468</f>
        <v>256.46</v>
      </c>
      <c r="F468" s="34">
        <f>5.79292257485553*E468</f>
        <v>1485.652923547449</v>
      </c>
      <c r="H468" s="36">
        <v>1128.26</v>
      </c>
      <c r="I468" s="34">
        <f>H468*0.373241712*(23.875/24)</f>
        <v>418.92039349163497</v>
      </c>
      <c r="J468" s="34"/>
      <c r="K468" s="34">
        <f>I468+J468</f>
        <v>418.92039349163497</v>
      </c>
      <c r="L468" s="34">
        <f>64.6380973378644*K468</f>
        <v>27078.217171328753</v>
      </c>
      <c r="M468" s="34">
        <f>F468+L468</f>
        <v>28563.8700948762</v>
      </c>
      <c r="O468" s="4">
        <f>F468/M468</f>
        <v>0.05201161182335534</v>
      </c>
      <c r="P468" s="4">
        <f>L468/M468</f>
        <v>0.9479883881766447</v>
      </c>
    </row>
    <row r="469" spans="1:16" ht="12.75">
      <c r="A469" s="45">
        <v>1522</v>
      </c>
      <c r="B469" s="20"/>
      <c r="C469" s="34">
        <v>2457.65</v>
      </c>
      <c r="D469" s="34"/>
      <c r="E469" s="34">
        <f>C469+D469</f>
        <v>2457.65</v>
      </c>
      <c r="F469" s="34">
        <f>5.79292257485553*E469</f>
        <v>14236.976166093695</v>
      </c>
      <c r="H469" s="36">
        <v>611.958</v>
      </c>
      <c r="I469" s="34">
        <f>H469*0.373241712*(23.875/24)</f>
        <v>227.21862528172048</v>
      </c>
      <c r="J469" s="34"/>
      <c r="K469" s="34">
        <f>I469+J469</f>
        <v>227.21862528172048</v>
      </c>
      <c r="L469" s="34">
        <f>64.6380973378644*K469</f>
        <v>14686.979617935584</v>
      </c>
      <c r="M469" s="34">
        <f>F469+L469</f>
        <v>28923.955784029276</v>
      </c>
      <c r="O469" s="4">
        <f>F469/M469</f>
        <v>0.49222092138430174</v>
      </c>
      <c r="P469" s="4">
        <f>L469/M469</f>
        <v>0.5077790786156983</v>
      </c>
    </row>
    <row r="470" spans="1:16" ht="12.75">
      <c r="A470" s="45">
        <v>1523</v>
      </c>
      <c r="B470" s="20"/>
      <c r="C470" s="34">
        <v>3031.38</v>
      </c>
      <c r="D470" s="34"/>
      <c r="E470" s="34">
        <f>C470+D470</f>
        <v>3031.38</v>
      </c>
      <c r="F470" s="34">
        <f>5.79292257485553*E470</f>
        <v>17560.54963496556</v>
      </c>
      <c r="H470" s="36">
        <v>380.854</v>
      </c>
      <c r="I470" s="34">
        <f>H470*0.373241712*(23.875/24)</f>
        <v>141.4102312790165</v>
      </c>
      <c r="J470" s="34"/>
      <c r="K470" s="34">
        <f>I470+J470</f>
        <v>141.4102312790165</v>
      </c>
      <c r="L470" s="34">
        <f>64.6380973378644*K470</f>
        <v>9140.488293982984</v>
      </c>
      <c r="M470" s="34">
        <f>F470+L470</f>
        <v>26701.037928948543</v>
      </c>
      <c r="O470" s="4">
        <f>F470/M470</f>
        <v>0.6576729219925525</v>
      </c>
      <c r="P470" s="4">
        <f>L470/M470</f>
        <v>0.34232707800744755</v>
      </c>
    </row>
    <row r="471" spans="1:16" ht="12.75">
      <c r="A471" s="45">
        <v>1524</v>
      </c>
      <c r="B471" s="20"/>
      <c r="C471" s="34">
        <f>(C470+C472)/2</f>
        <v>4342.307500000001</v>
      </c>
      <c r="D471" s="34"/>
      <c r="E471" s="34">
        <f>C471+D471</f>
        <v>4342.307500000001</v>
      </c>
      <c r="F471" s="34">
        <f>5.79292257485553*E471</f>
        <v>25154.651143714484</v>
      </c>
      <c r="H471" s="36"/>
      <c r="I471" s="34">
        <f>(I470+I472)/2</f>
        <v>521.5123699134663</v>
      </c>
      <c r="J471" s="34"/>
      <c r="K471" s="34">
        <f>I471+J471</f>
        <v>521.5123699134663</v>
      </c>
      <c r="L471" s="34">
        <f>64.6380973378644*K471</f>
        <v>33709.567329366975</v>
      </c>
      <c r="M471" s="34">
        <f>F471+L471</f>
        <v>58864.21847308146</v>
      </c>
      <c r="O471" s="4">
        <f>F471/M471</f>
        <v>0.42733347687640966</v>
      </c>
      <c r="P471" s="4">
        <f>L471/M471</f>
        <v>0.5726665231235902</v>
      </c>
    </row>
    <row r="472" spans="1:16" ht="12.75">
      <c r="A472" s="45">
        <v>1525</v>
      </c>
      <c r="B472" s="20"/>
      <c r="C472" s="34">
        <f>(C470+C477)/2</f>
        <v>5653.235000000001</v>
      </c>
      <c r="D472" s="34"/>
      <c r="E472" s="34">
        <f>C472+D472</f>
        <v>5653.235000000001</v>
      </c>
      <c r="F472" s="34">
        <f>5.79292257485553*E472</f>
        <v>32748.752652463405</v>
      </c>
      <c r="H472" s="36"/>
      <c r="I472" s="34">
        <f>(I470+I477)/2</f>
        <v>901.6145085479161</v>
      </c>
      <c r="J472" s="34"/>
      <c r="K472" s="34">
        <f>I472+J472</f>
        <v>901.6145085479161</v>
      </c>
      <c r="L472" s="34">
        <f>64.6380973378644*K472</f>
        <v>58278.64636475097</v>
      </c>
      <c r="M472" s="34">
        <f>F472+L472</f>
        <v>91027.39901721438</v>
      </c>
      <c r="O472" s="4">
        <f>F472/M472</f>
        <v>0.3597680808859563</v>
      </c>
      <c r="P472" s="4">
        <f>L472/M472</f>
        <v>0.6402319191140436</v>
      </c>
    </row>
    <row r="473" spans="1:16" ht="12.75">
      <c r="A473" s="45"/>
      <c r="B473" s="20"/>
      <c r="C473" s="36"/>
      <c r="D473" s="34"/>
      <c r="E473" s="36"/>
      <c r="F473" s="36"/>
      <c r="H473" s="36"/>
      <c r="I473" s="36"/>
      <c r="J473" s="36"/>
      <c r="K473" s="36"/>
      <c r="L473" s="36"/>
      <c r="M473" s="36"/>
      <c r="O473" s="8"/>
      <c r="P473" s="8"/>
    </row>
    <row r="474" spans="1:16" ht="12.75">
      <c r="A474" s="45" t="s">
        <v>103</v>
      </c>
      <c r="B474" s="20"/>
      <c r="C474" s="36">
        <f>SUM(C468:C473)/5</f>
        <v>3148.2065000000002</v>
      </c>
      <c r="D474" s="36">
        <f>SUM(D468:D473)/5</f>
        <v>0</v>
      </c>
      <c r="E474" s="36">
        <f>SUM(E468:E473)/5</f>
        <v>3148.2065000000002</v>
      </c>
      <c r="F474" s="36">
        <f>SUM(F468:F473)/5</f>
        <v>18237.31650415692</v>
      </c>
      <c r="H474" s="36"/>
      <c r="I474" s="36">
        <f>SUM(I468:I473)/5</f>
        <v>442.1352257027509</v>
      </c>
      <c r="J474" s="36"/>
      <c r="K474" s="36">
        <f>SUM(K468:K473)/5</f>
        <v>442.1352257027509</v>
      </c>
      <c r="L474" s="36">
        <f>SUM(L468:L473)/5</f>
        <v>28578.779755473057</v>
      </c>
      <c r="M474" s="36">
        <f>SUM(M468:M473)/5</f>
        <v>46816.09625962997</v>
      </c>
      <c r="O474" s="4">
        <f>F474/M474</f>
        <v>0.38955226858338365</v>
      </c>
      <c r="P474" s="4">
        <f>L474/M474</f>
        <v>0.6104477314166163</v>
      </c>
    </row>
    <row r="475" spans="1:16" ht="12.75">
      <c r="A475" s="45"/>
      <c r="B475" s="20"/>
      <c r="C475" s="36"/>
      <c r="D475" s="34"/>
      <c r="E475" s="36"/>
      <c r="F475" s="36"/>
      <c r="H475" s="36"/>
      <c r="I475" s="36"/>
      <c r="J475" s="36"/>
      <c r="K475" s="36"/>
      <c r="L475" s="36"/>
      <c r="M475" s="36"/>
      <c r="O475" s="8"/>
      <c r="P475" s="8"/>
    </row>
    <row r="476" spans="1:16" ht="12.75">
      <c r="A476" s="45">
        <v>1526</v>
      </c>
      <c r="B476" s="20"/>
      <c r="C476" s="34">
        <f>(C472+C477)/2</f>
        <v>6964.1625</v>
      </c>
      <c r="D476" s="34"/>
      <c r="E476" s="34">
        <f>C476+D476</f>
        <v>6964.1625</v>
      </c>
      <c r="F476" s="34">
        <v>45385.5</v>
      </c>
      <c r="H476" s="36"/>
      <c r="I476" s="34">
        <f>(I472+I477)/2</f>
        <v>1281.716647182366</v>
      </c>
      <c r="J476" s="34"/>
      <c r="K476" s="34">
        <f>I476+J476</f>
        <v>1281.716647182366</v>
      </c>
      <c r="L476" s="34">
        <v>94123.33</v>
      </c>
      <c r="M476" s="34">
        <f>F476+L476</f>
        <v>139508.83000000002</v>
      </c>
      <c r="O476" s="4">
        <f>F476/M476</f>
        <v>0.3253234938605678</v>
      </c>
      <c r="P476" s="4">
        <f>L476/M476</f>
        <v>0.6746765061394321</v>
      </c>
    </row>
    <row r="477" spans="1:16" ht="12.75">
      <c r="A477" s="45">
        <v>1527</v>
      </c>
      <c r="B477" s="20"/>
      <c r="C477" s="34">
        <v>8275.09</v>
      </c>
      <c r="D477" s="34"/>
      <c r="E477" s="34">
        <f>C477+D477</f>
        <v>8275.09</v>
      </c>
      <c r="F477" s="34">
        <f>6.51703836232909*E477</f>
        <v>53929.07898172583</v>
      </c>
      <c r="H477" s="36">
        <v>4857.156</v>
      </c>
      <c r="I477" s="34">
        <f>H477*0.373241712*(22/24)</f>
        <v>1661.8187858168158</v>
      </c>
      <c r="J477" s="34"/>
      <c r="K477" s="34">
        <f>I477+J477</f>
        <v>1661.8187858168158</v>
      </c>
      <c r="L477" s="34">
        <f>73.43517318279*K477</f>
        <v>122035.95033487165</v>
      </c>
      <c r="M477" s="34">
        <f>F477+L477</f>
        <v>175965.02931659747</v>
      </c>
      <c r="O477" s="4">
        <f>F477/M477</f>
        <v>0.3064761173920317</v>
      </c>
      <c r="P477" s="4">
        <f>L477/M477</f>
        <v>0.6935238826079684</v>
      </c>
    </row>
    <row r="478" spans="1:16" ht="12.75">
      <c r="A478" s="45">
        <v>1528</v>
      </c>
      <c r="B478" s="20"/>
      <c r="C478" s="34">
        <v>11056.15</v>
      </c>
      <c r="D478" s="34"/>
      <c r="E478" s="34">
        <f>C478+D478</f>
        <v>11056.15</v>
      </c>
      <c r="F478" s="34">
        <f>6.51703836232909*E478</f>
        <v>72053.35368966476</v>
      </c>
      <c r="H478" s="36">
        <v>1231.063</v>
      </c>
      <c r="I478" s="34">
        <f>H478*0.373241712*(22/24)</f>
        <v>421.19372322486805</v>
      </c>
      <c r="J478" s="34"/>
      <c r="K478" s="34">
        <f>I478+J478</f>
        <v>421.19372322486805</v>
      </c>
      <c r="L478" s="34">
        <f>73.43517318279*K478</f>
        <v>30930.4340085223</v>
      </c>
      <c r="M478" s="34">
        <f>F478+L478</f>
        <v>102983.78769818705</v>
      </c>
      <c r="O478" s="4">
        <f>F478/M478</f>
        <v>0.6996572499433636</v>
      </c>
      <c r="P478" s="4">
        <f>L478/M478</f>
        <v>0.3003427500566364</v>
      </c>
    </row>
    <row r="479" spans="1:16" ht="12.75">
      <c r="A479" s="45">
        <v>1529</v>
      </c>
      <c r="B479" s="20"/>
      <c r="C479" s="34">
        <v>11056.15</v>
      </c>
      <c r="D479" s="34"/>
      <c r="E479" s="34">
        <f>C479+D479</f>
        <v>11056.15</v>
      </c>
      <c r="F479" s="34">
        <f>6.51703836232909*E479</f>
        <v>72053.35368966476</v>
      </c>
      <c r="H479" s="36">
        <v>533.167</v>
      </c>
      <c r="I479" s="34">
        <f>H479*0.373241712*(22/24)</f>
        <v>182.41681687341202</v>
      </c>
      <c r="J479" s="34"/>
      <c r="K479" s="34">
        <f>I479+J479</f>
        <v>182.41681687341202</v>
      </c>
      <c r="L479" s="34">
        <f>73.43517318279*K479</f>
        <v>13395.8105385523</v>
      </c>
      <c r="M479" s="34">
        <f>F479+L479</f>
        <v>85449.16422821705</v>
      </c>
      <c r="O479" s="4">
        <f>F479/M479</f>
        <v>0.8432306429261864</v>
      </c>
      <c r="P479" s="4">
        <f>L479/M479</f>
        <v>0.15676935707381362</v>
      </c>
    </row>
    <row r="480" spans="1:16" ht="12.75">
      <c r="A480" s="45">
        <v>1530</v>
      </c>
      <c r="B480" s="20"/>
      <c r="C480" s="34">
        <v>8871.95</v>
      </c>
      <c r="D480" s="34"/>
      <c r="E480" s="34">
        <f>C480+D480</f>
        <v>8871.95</v>
      </c>
      <c r="F480" s="34">
        <f>6.51703836232909*E480</f>
        <v>57818.83849866557</v>
      </c>
      <c r="H480" s="36">
        <v>394.458</v>
      </c>
      <c r="I480" s="34">
        <f>H480*0.373241712*(22/24)</f>
        <v>134.959164296088</v>
      </c>
      <c r="J480" s="34"/>
      <c r="K480" s="34">
        <f>I480+J480</f>
        <v>134.959164296088</v>
      </c>
      <c r="L480" s="34">
        <f>73.43517318279*K480</f>
        <v>9910.74960268783</v>
      </c>
      <c r="M480" s="34">
        <f>F480+L480</f>
        <v>67729.58810135341</v>
      </c>
      <c r="O480" s="4">
        <f>F480/M480</f>
        <v>0.8536717868731614</v>
      </c>
      <c r="P480" s="4">
        <f>L480/M480</f>
        <v>0.14632821312683855</v>
      </c>
    </row>
    <row r="481" spans="1:16" ht="12.75">
      <c r="A481" s="45"/>
      <c r="B481" s="20"/>
      <c r="C481" s="36"/>
      <c r="D481" s="34"/>
      <c r="E481" s="36"/>
      <c r="F481" s="36"/>
      <c r="H481" s="36"/>
      <c r="I481" s="36"/>
      <c r="J481" s="36"/>
      <c r="K481" s="36"/>
      <c r="L481" s="36"/>
      <c r="M481" s="36"/>
      <c r="O481" s="8"/>
      <c r="P481" s="8"/>
    </row>
    <row r="482" spans="1:16" ht="12.75">
      <c r="A482" s="45" t="s">
        <v>107</v>
      </c>
      <c r="B482" s="20"/>
      <c r="C482" s="36">
        <f>SUM(C476:C481)/5</f>
        <v>9244.7005</v>
      </c>
      <c r="D482" s="36">
        <f>SUM(D476:D481)/5</f>
        <v>0</v>
      </c>
      <c r="E482" s="36">
        <f>SUM(E476:E481)/5</f>
        <v>9244.7005</v>
      </c>
      <c r="F482" s="36">
        <f>SUM(F476:F481)/5</f>
        <v>60248.024971944185</v>
      </c>
      <c r="H482" s="36"/>
      <c r="I482" s="36">
        <f>SUM(I476:I481)/5</f>
        <v>736.4210274787099</v>
      </c>
      <c r="J482" s="36"/>
      <c r="K482" s="36">
        <f>SUM(K476:K481)/5</f>
        <v>736.4210274787099</v>
      </c>
      <c r="L482" s="36">
        <f>SUM(L476:L481)/5</f>
        <v>54079.254896926825</v>
      </c>
      <c r="M482" s="36">
        <f>SUM(M476:M481)/5</f>
        <v>114327.279868871</v>
      </c>
      <c r="O482" s="4">
        <f>F482/M482</f>
        <v>0.5269785570079718</v>
      </c>
      <c r="P482" s="4">
        <f>L482/M482</f>
        <v>0.47302144299202825</v>
      </c>
    </row>
    <row r="483" spans="1:16" ht="12.75">
      <c r="A483" s="45"/>
      <c r="B483" s="20"/>
      <c r="C483" s="36"/>
      <c r="D483" s="34"/>
      <c r="E483" s="36"/>
      <c r="F483" s="36"/>
      <c r="H483" s="36"/>
      <c r="I483" s="36"/>
      <c r="J483" s="36"/>
      <c r="K483" s="36"/>
      <c r="L483" s="36"/>
      <c r="M483" s="36"/>
      <c r="O483" s="8"/>
      <c r="P483" s="8"/>
    </row>
    <row r="484" spans="1:16" ht="12.75">
      <c r="A484" s="45">
        <v>1531</v>
      </c>
      <c r="B484" s="20"/>
      <c r="C484" s="34">
        <v>5016.43</v>
      </c>
      <c r="D484" s="34"/>
      <c r="E484" s="34">
        <f>C484+D484</f>
        <v>5016.43</v>
      </c>
      <c r="F484" s="34">
        <f>6.51703836232909*E484</f>
        <v>32692.266751938518</v>
      </c>
      <c r="H484" s="36">
        <v>320.25</v>
      </c>
      <c r="I484" s="34">
        <f>H484*0.373241712*(22/24)</f>
        <v>109.569770079</v>
      </c>
      <c r="J484" s="34"/>
      <c r="K484" s="34">
        <f>I484+J484</f>
        <v>109.569770079</v>
      </c>
      <c r="L484" s="34">
        <f>73.43517318279*K484</f>
        <v>8046.275041349846</v>
      </c>
      <c r="M484" s="34">
        <f>F484+L484</f>
        <v>40738.541793288365</v>
      </c>
      <c r="O484" s="4">
        <f>F484/M484</f>
        <v>0.8024898612675562</v>
      </c>
      <c r="P484" s="4">
        <f>L484/M484</f>
        <v>0.19751013873244383</v>
      </c>
    </row>
    <row r="485" spans="1:16" ht="12.75">
      <c r="A485" s="45">
        <v>1532</v>
      </c>
      <c r="B485" s="20"/>
      <c r="C485" s="34">
        <v>5016.43</v>
      </c>
      <c r="D485" s="34"/>
      <c r="E485" s="34">
        <f>C485+D485</f>
        <v>5016.43</v>
      </c>
      <c r="F485" s="34">
        <f>6.51703836232909*E485</f>
        <v>32692.266751938518</v>
      </c>
      <c r="H485" s="36"/>
      <c r="I485" s="34">
        <v>166.42</v>
      </c>
      <c r="J485" s="34"/>
      <c r="K485" s="34">
        <f>I485+J485</f>
        <v>166.42</v>
      </c>
      <c r="L485" s="34">
        <f>73.43517318279*K485</f>
        <v>12221.08152107991</v>
      </c>
      <c r="M485" s="34">
        <f>F485+L485</f>
        <v>44913.348273018426</v>
      </c>
      <c r="O485" s="4">
        <f>F485/M485</f>
        <v>0.7278964496970783</v>
      </c>
      <c r="P485" s="4">
        <f>L485/M485</f>
        <v>0.27210355030292166</v>
      </c>
    </row>
    <row r="486" spans="1:16" ht="12.75">
      <c r="A486" s="45">
        <v>1533</v>
      </c>
      <c r="B486" s="20"/>
      <c r="C486" s="34">
        <v>4566.78</v>
      </c>
      <c r="D486" s="34"/>
      <c r="E486" s="34">
        <f>C486+D486</f>
        <v>4566.78</v>
      </c>
      <c r="F486" s="34">
        <f>6.51703836232909*E486</f>
        <v>29761.88045231724</v>
      </c>
      <c r="H486" s="36">
        <v>652.571</v>
      </c>
      <c r="I486" s="34">
        <f>H486*0.373241712*(22/24)</f>
        <v>223.269490804756</v>
      </c>
      <c r="J486" s="34"/>
      <c r="K486" s="34">
        <f>I486+J486</f>
        <v>223.269490804756</v>
      </c>
      <c r="L486" s="34">
        <f>73.43517318279*K486</f>
        <v>16395.833723680596</v>
      </c>
      <c r="M486" s="34">
        <f>F486+L486</f>
        <v>46157.71417599784</v>
      </c>
      <c r="O486" s="4">
        <f>F486/M486</f>
        <v>0.6447867053995823</v>
      </c>
      <c r="P486" s="4">
        <f>L486/M486</f>
        <v>0.3552132946004177</v>
      </c>
    </row>
    <row r="487" spans="1:16" ht="12.75">
      <c r="A487" s="45">
        <v>1534</v>
      </c>
      <c r="B487" s="20"/>
      <c r="C487" s="34">
        <v>4242.26</v>
      </c>
      <c r="D487" s="34"/>
      <c r="E487" s="34">
        <f>C487+D487</f>
        <v>4242.26</v>
      </c>
      <c r="F487" s="34">
        <f>6.51703836232909*E487</f>
        <v>27646.971162974205</v>
      </c>
      <c r="H487" s="36">
        <v>652.571</v>
      </c>
      <c r="I487" s="34">
        <f>H487*0.373241712*(22/24)</f>
        <v>223.269490804756</v>
      </c>
      <c r="J487" s="34"/>
      <c r="K487" s="34">
        <f>I487+J487</f>
        <v>223.269490804756</v>
      </c>
      <c r="L487" s="34">
        <f>73.43517318279*K487</f>
        <v>16395.833723680596</v>
      </c>
      <c r="M487" s="34">
        <f>F487+L487</f>
        <v>44042.804886654805</v>
      </c>
      <c r="O487" s="4">
        <f>F487/M487</f>
        <v>0.6277295743112714</v>
      </c>
      <c r="P487" s="4">
        <f>L487/M487</f>
        <v>0.37227042568872853</v>
      </c>
    </row>
    <row r="488" spans="1:16" ht="12.75">
      <c r="A488" s="45">
        <v>1535</v>
      </c>
      <c r="B488" s="20"/>
      <c r="C488" s="34">
        <v>4242.26</v>
      </c>
      <c r="D488" s="34"/>
      <c r="E488" s="34">
        <f>C488+D488</f>
        <v>4242.26</v>
      </c>
      <c r="F488" s="34">
        <f>6.51703836232909*E488</f>
        <v>27646.971162974205</v>
      </c>
      <c r="H488" s="36">
        <v>652.571</v>
      </c>
      <c r="I488" s="34">
        <f>H488*0.373241712*(22/24)</f>
        <v>223.269490804756</v>
      </c>
      <c r="J488" s="34"/>
      <c r="K488" s="34">
        <f>I488+J488</f>
        <v>223.269490804756</v>
      </c>
      <c r="L488" s="34">
        <f>73.43517318279*K488</f>
        <v>16395.833723680596</v>
      </c>
      <c r="M488" s="34">
        <f>F488+L488</f>
        <v>44042.804886654805</v>
      </c>
      <c r="O488" s="4">
        <f>F488/M488</f>
        <v>0.6277295743112714</v>
      </c>
      <c r="P488" s="4">
        <f>L488/M488</f>
        <v>0.37227042568872853</v>
      </c>
    </row>
    <row r="489" spans="1:16" ht="12.75">
      <c r="A489" s="45"/>
      <c r="B489" s="20"/>
      <c r="C489" s="36"/>
      <c r="D489" s="34"/>
      <c r="E489" s="36"/>
      <c r="F489" s="36"/>
      <c r="H489" s="36"/>
      <c r="I489" s="36"/>
      <c r="J489" s="36"/>
      <c r="K489" s="36"/>
      <c r="L489" s="36"/>
      <c r="M489" s="36"/>
      <c r="O489" s="8"/>
      <c r="P489" s="8"/>
    </row>
    <row r="490" spans="1:16" ht="12.75">
      <c r="A490" s="45" t="s">
        <v>110</v>
      </c>
      <c r="B490" s="20"/>
      <c r="C490" s="36">
        <f>SUM(C484:C489)/5</f>
        <v>4616.832</v>
      </c>
      <c r="D490" s="36">
        <f>SUM(D484:D489)/5</f>
        <v>0</v>
      </c>
      <c r="E490" s="36">
        <f>SUM(E484:E489)/5</f>
        <v>4616.832</v>
      </c>
      <c r="F490" s="36">
        <f>SUM(F484:F489)/5</f>
        <v>30088.07125642854</v>
      </c>
      <c r="H490" s="36"/>
      <c r="I490" s="36">
        <f>SUM(I484:I489)/5</f>
        <v>189.15964849865358</v>
      </c>
      <c r="J490" s="36"/>
      <c r="K490" s="36">
        <f>SUM(K484:K489)/5</f>
        <v>189.15964849865358</v>
      </c>
      <c r="L490" s="36">
        <f>SUM(L484:L489)/5</f>
        <v>13890.97154669431</v>
      </c>
      <c r="M490" s="36">
        <f>SUM(M484:M489)/5</f>
        <v>43979.04280312285</v>
      </c>
      <c r="O490" s="4">
        <f>F490/M490</f>
        <v>0.6841456598116786</v>
      </c>
      <c r="P490" s="4">
        <f>L490/M490</f>
        <v>0.31585434018832137</v>
      </c>
    </row>
    <row r="491" spans="1:16" ht="12.75">
      <c r="A491" s="45"/>
      <c r="B491" s="20"/>
      <c r="C491" s="36"/>
      <c r="D491" s="34"/>
      <c r="E491" s="36"/>
      <c r="F491" s="36"/>
      <c r="H491" s="36"/>
      <c r="I491" s="36"/>
      <c r="J491" s="36"/>
      <c r="K491" s="36"/>
      <c r="L491" s="36"/>
      <c r="M491" s="36"/>
      <c r="O491" s="8"/>
      <c r="P491" s="8"/>
    </row>
    <row r="492" spans="1:16" ht="12.75">
      <c r="A492" s="45">
        <v>1536</v>
      </c>
      <c r="B492" s="20"/>
      <c r="C492" s="34">
        <v>5383.3</v>
      </c>
      <c r="D492" s="34"/>
      <c r="E492" s="34">
        <f>C492+D492</f>
        <v>5383.3</v>
      </c>
      <c r="F492" s="34">
        <f>6.51703836232909*E492</f>
        <v>35083.17261592619</v>
      </c>
      <c r="H492" s="36">
        <f>346.563+831.817</f>
        <v>1178.38</v>
      </c>
      <c r="I492" s="34">
        <f>128.678+284.596</f>
        <v>413.274</v>
      </c>
      <c r="J492" s="34"/>
      <c r="K492" s="34">
        <f>I492+J492</f>
        <v>413.274</v>
      </c>
      <c r="L492" s="34">
        <f>346.563*27+(831.817*25.125)</f>
        <v>30256.603125</v>
      </c>
      <c r="M492" s="34">
        <f>F492+L492</f>
        <v>65339.77574092619</v>
      </c>
      <c r="O492" s="4">
        <f>F492/M492</f>
        <v>0.5369343897816825</v>
      </c>
      <c r="P492" s="4">
        <f>L492/M492</f>
        <v>0.46306561021831744</v>
      </c>
    </row>
    <row r="493" spans="1:16" ht="12.75">
      <c r="A493" s="45">
        <v>1537</v>
      </c>
      <c r="B493" s="20"/>
      <c r="C493" s="34">
        <v>6524.34</v>
      </c>
      <c r="D493" s="34"/>
      <c r="E493" s="34">
        <f>C493+D493</f>
        <v>6524.34</v>
      </c>
      <c r="F493" s="34">
        <f>6.51703836232909*E493</f>
        <v>42519.374068878176</v>
      </c>
      <c r="H493" s="36">
        <f>1011.063+31.458+400</f>
        <v>1442.521</v>
      </c>
      <c r="I493" s="34">
        <f>345.923+11.68+148.519</f>
        <v>506.122</v>
      </c>
      <c r="J493" s="34"/>
      <c r="K493" s="34">
        <f>I493+J493</f>
        <v>506.122</v>
      </c>
      <c r="L493" s="34">
        <f>(1011.063*25.125)+27*(31.458+400)</f>
        <v>37052.323875</v>
      </c>
      <c r="M493" s="34">
        <f>F493+L493</f>
        <v>79571.69794387819</v>
      </c>
      <c r="O493" s="4">
        <f>F493/M493</f>
        <v>0.5343529818713563</v>
      </c>
      <c r="P493" s="4">
        <f>L493/M493</f>
        <v>0.4656470181286437</v>
      </c>
    </row>
    <row r="494" spans="1:16" ht="12.75">
      <c r="A494" s="45">
        <v>1538</v>
      </c>
      <c r="B494" s="20"/>
      <c r="C494" s="34">
        <v>4498.05</v>
      </c>
      <c r="D494" s="34"/>
      <c r="E494" s="34">
        <f>C494+D494</f>
        <v>4498.05</v>
      </c>
      <c r="F494" s="34">
        <f>6.51703836232909*E494</f>
        <v>29313.964405674364</v>
      </c>
      <c r="H494" s="36">
        <v>1166.243</v>
      </c>
      <c r="I494" s="34">
        <f>H494*0.373241712*(22/24)</f>
        <v>399.01632276734796</v>
      </c>
      <c r="J494" s="34"/>
      <c r="K494" s="34">
        <f>I494+J494</f>
        <v>399.01632276734796</v>
      </c>
      <c r="L494" s="34">
        <f>73.43517318279*K494</f>
        <v>29301.83276518023</v>
      </c>
      <c r="M494" s="34">
        <f>F494+L494</f>
        <v>58615.797170854596</v>
      </c>
      <c r="O494" s="4">
        <f>F494/M494</f>
        <v>0.5001034843939661</v>
      </c>
      <c r="P494" s="4">
        <f>L494/M494</f>
        <v>0.4998965156060338</v>
      </c>
    </row>
    <row r="495" spans="1:16" ht="12.75">
      <c r="A495" s="45">
        <v>1539</v>
      </c>
      <c r="B495" s="20"/>
      <c r="C495" s="34">
        <v>6007.39</v>
      </c>
      <c r="D495" s="34"/>
      <c r="E495" s="34">
        <f>C495+D495</f>
        <v>6007.39</v>
      </c>
      <c r="F495" s="34">
        <f>6.51703836232909*E495</f>
        <v>39150.391087472155</v>
      </c>
      <c r="H495" s="36">
        <v>1166.243</v>
      </c>
      <c r="I495" s="34">
        <f>H495*0.373241712*(22/24)</f>
        <v>399.01632276734796</v>
      </c>
      <c r="J495" s="34"/>
      <c r="K495" s="34">
        <f>I495+J495</f>
        <v>399.01632276734796</v>
      </c>
      <c r="L495" s="34">
        <f>73.43517318279*K495</f>
        <v>29301.83276518023</v>
      </c>
      <c r="M495" s="34">
        <f>F495+L495</f>
        <v>68452.22385265239</v>
      </c>
      <c r="O495" s="4">
        <f>F495/M495</f>
        <v>0.5719374606695872</v>
      </c>
      <c r="P495" s="4">
        <f>L495/M495</f>
        <v>0.4280625393304127</v>
      </c>
    </row>
    <row r="496" spans="1:16" ht="12.75">
      <c r="A496" s="45">
        <v>1540</v>
      </c>
      <c r="B496" s="20"/>
      <c r="C496" s="34">
        <v>6007.39</v>
      </c>
      <c r="D496" s="34"/>
      <c r="E496" s="34">
        <f>C496+D496</f>
        <v>6007.39</v>
      </c>
      <c r="F496" s="34">
        <f>6.51703836232909*E496</f>
        <v>39150.391087472155</v>
      </c>
      <c r="H496" s="36">
        <f>780.683+143.404</f>
        <v>924.087</v>
      </c>
      <c r="I496" s="34">
        <f>H496*0.373241712*(22/24)</f>
        <v>316.165496090532</v>
      </c>
      <c r="J496" s="34"/>
      <c r="K496" s="34">
        <f>I496+J496</f>
        <v>316.165496090532</v>
      </c>
      <c r="L496" s="34">
        <f>73.43517318279*K496</f>
        <v>23217.667959830927</v>
      </c>
      <c r="M496" s="34">
        <f>F496+L496</f>
        <v>62368.05904730308</v>
      </c>
      <c r="O496" s="4">
        <f>F496/M496</f>
        <v>0.6277314331327599</v>
      </c>
      <c r="P496" s="4">
        <f>L496/M496</f>
        <v>0.37226856686724014</v>
      </c>
    </row>
    <row r="497" spans="1:16" ht="12.75">
      <c r="A497" s="45"/>
      <c r="B497" s="20"/>
      <c r="C497" s="36"/>
      <c r="D497" s="34"/>
      <c r="E497" s="36"/>
      <c r="F497" s="36"/>
      <c r="H497" s="20"/>
      <c r="I497" s="36"/>
      <c r="J497" s="36"/>
      <c r="K497" s="36"/>
      <c r="L497" s="36"/>
      <c r="M497" s="36"/>
      <c r="O497" s="8"/>
      <c r="P497" s="8"/>
    </row>
    <row r="498" spans="1:16" ht="12.75">
      <c r="A498" s="45" t="s">
        <v>112</v>
      </c>
      <c r="B498" s="20"/>
      <c r="C498" s="36">
        <f>SUM(C492:C497)/5</f>
        <v>5684.093999999999</v>
      </c>
      <c r="D498" s="36">
        <f>SUM(D492:D497)/5</f>
        <v>0</v>
      </c>
      <c r="E498" s="36">
        <f>SUM(E492:E497)/5</f>
        <v>5684.093999999999</v>
      </c>
      <c r="F498" s="36">
        <f>SUM(F492:F497)/5</f>
        <v>37043.458653084606</v>
      </c>
      <c r="H498" s="20"/>
      <c r="I498" s="36">
        <f>SUM(I492:I497)/5</f>
        <v>406.71882832504554</v>
      </c>
      <c r="J498" s="36"/>
      <c r="K498" s="36">
        <f>SUM(K492:K497)/5</f>
        <v>406.71882832504554</v>
      </c>
      <c r="L498" s="36">
        <f>SUM(L492:L497)/5</f>
        <v>29826.052098038275</v>
      </c>
      <c r="M498" s="36">
        <f>SUM(M492:M497)/5</f>
        <v>66869.5107511229</v>
      </c>
      <c r="O498" s="4">
        <f>F498/M498</f>
        <v>0.5539663478465416</v>
      </c>
      <c r="P498" s="4">
        <f>L498/M498</f>
        <v>0.4460336521534581</v>
      </c>
    </row>
    <row r="499" spans="1:16" ht="12.75">
      <c r="A499" s="45"/>
      <c r="B499" s="20"/>
      <c r="C499" s="36"/>
      <c r="D499" s="34"/>
      <c r="E499" s="36"/>
      <c r="F499" s="36"/>
      <c r="H499" s="20"/>
      <c r="I499" s="36"/>
      <c r="J499" s="36"/>
      <c r="K499" s="36"/>
      <c r="L499" s="36"/>
      <c r="M499" s="36"/>
      <c r="O499" s="8"/>
      <c r="P499" s="8"/>
    </row>
    <row r="500" spans="1:16" ht="12.75">
      <c r="A500" s="45">
        <v>1541</v>
      </c>
      <c r="B500" s="20"/>
      <c r="C500" s="34">
        <v>6007.39</v>
      </c>
      <c r="D500" s="34"/>
      <c r="E500" s="34">
        <f>C500+D500</f>
        <v>6007.39</v>
      </c>
      <c r="F500" s="34">
        <f>6.51703836232909*E500</f>
        <v>39150.391087472155</v>
      </c>
      <c r="H500">
        <v>461.41600000000005</v>
      </c>
      <c r="I500" s="34">
        <v>158.70802246993193</v>
      </c>
      <c r="J500" s="39"/>
      <c r="K500" s="34">
        <f>I500+J500</f>
        <v>158.70802246993193</v>
      </c>
      <c r="L500" s="34">
        <v>11647.138875</v>
      </c>
      <c r="M500" s="34">
        <f>F500+L500</f>
        <v>50797.52996247215</v>
      </c>
      <c r="O500" s="4">
        <f>F500/M500</f>
        <v>0.7707144641953144</v>
      </c>
      <c r="P500" s="4">
        <f>L500/M500</f>
        <v>0.22928553580468564</v>
      </c>
    </row>
    <row r="501" spans="1:16" ht="12.75">
      <c r="A501" s="45">
        <v>1542</v>
      </c>
      <c r="B501" s="20"/>
      <c r="C501" s="34">
        <v>5766.23</v>
      </c>
      <c r="D501" s="34"/>
      <c r="E501" s="34">
        <f>C501+D501</f>
        <v>5766.23</v>
      </c>
      <c r="F501" s="34">
        <v>39320.26</v>
      </c>
      <c r="H501">
        <v>431.09799999999996</v>
      </c>
      <c r="I501" s="34">
        <v>148.69346398645598</v>
      </c>
      <c r="J501" s="39"/>
      <c r="K501" s="34">
        <f>I501+J501</f>
        <v>148.69346398645598</v>
      </c>
      <c r="L501" s="34">
        <v>11114.518049999999</v>
      </c>
      <c r="M501" s="34">
        <f>F501+L501</f>
        <v>50434.77805</v>
      </c>
      <c r="O501" s="4">
        <f>F501/M501</f>
        <v>0.7796259152963597</v>
      </c>
      <c r="P501" s="4">
        <f>L501/M501</f>
        <v>0.2203740847036403</v>
      </c>
    </row>
    <row r="502" spans="1:16" ht="12.75">
      <c r="A502" s="45">
        <v>1543</v>
      </c>
      <c r="B502" s="20"/>
      <c r="C502" s="34">
        <v>4449.94</v>
      </c>
      <c r="D502" s="34"/>
      <c r="E502" s="34">
        <f>C502+D502</f>
        <v>4449.94</v>
      </c>
      <c r="F502" s="34">
        <v>35985.97</v>
      </c>
      <c r="H502">
        <v>584.566</v>
      </c>
      <c r="I502" s="34">
        <v>204.808893522284</v>
      </c>
      <c r="J502" s="39"/>
      <c r="K502" s="34">
        <f>I502+J502</f>
        <v>204.808893522284</v>
      </c>
      <c r="L502" s="34">
        <v>15823.0383</v>
      </c>
      <c r="M502" s="34">
        <f>F502+L502</f>
        <v>51809.0083</v>
      </c>
      <c r="O502" s="4">
        <f>F502/M502</f>
        <v>0.6945890527690336</v>
      </c>
      <c r="P502" s="4">
        <f>L502/M502</f>
        <v>0.3054109472309664</v>
      </c>
    </row>
    <row r="503" spans="1:16" ht="12.75">
      <c r="A503" s="45">
        <v>1544</v>
      </c>
      <c r="B503" s="20"/>
      <c r="C503" s="34">
        <v>9556.6</v>
      </c>
      <c r="D503" s="34"/>
      <c r="E503" s="34">
        <f>C503+D503</f>
        <v>9556.6</v>
      </c>
      <c r="F503" s="34">
        <v>80055.05</v>
      </c>
      <c r="H503" s="34">
        <v>2661.857</v>
      </c>
      <c r="I503" s="34">
        <v>949.7208145020554</v>
      </c>
      <c r="J503" s="39"/>
      <c r="K503" s="34">
        <f>I503+J503</f>
        <v>949.7208145020554</v>
      </c>
      <c r="L503" s="34">
        <v>75936.85035000001</v>
      </c>
      <c r="M503" s="34">
        <f>F503+L503</f>
        <v>155991.90035</v>
      </c>
      <c r="O503" s="4">
        <f>F503/M503</f>
        <v>0.5132000432098076</v>
      </c>
      <c r="P503" s="4">
        <f>L503/M503</f>
        <v>0.48679995679019245</v>
      </c>
    </row>
    <row r="504" spans="1:16" ht="12.75">
      <c r="A504" s="45">
        <v>1545</v>
      </c>
      <c r="B504" s="20"/>
      <c r="C504" s="34">
        <v>2755</v>
      </c>
      <c r="D504" s="34"/>
      <c r="E504" s="34">
        <f>C504+D504</f>
        <v>2755</v>
      </c>
      <c r="F504" s="34">
        <v>309369.95</v>
      </c>
      <c r="H504" s="34">
        <v>9654.264000000001</v>
      </c>
      <c r="I504" s="34">
        <v>3357.0304967433026</v>
      </c>
      <c r="J504" s="39"/>
      <c r="K504" s="34">
        <f>I504+J504</f>
        <v>3357.0304967433026</v>
      </c>
      <c r="L504" s="34">
        <v>285465.9948</v>
      </c>
      <c r="M504" s="34">
        <f>F504+L504</f>
        <v>594835.9447999999</v>
      </c>
      <c r="O504" s="4">
        <f>F504/M504</f>
        <v>0.5200928973853768</v>
      </c>
      <c r="P504" s="4">
        <f>L504/M504</f>
        <v>0.4799071026146233</v>
      </c>
    </row>
    <row r="505" spans="1:16" ht="12.75">
      <c r="A505" s="45"/>
      <c r="B505" s="20"/>
      <c r="C505" s="36"/>
      <c r="D505" s="34"/>
      <c r="E505" s="36"/>
      <c r="F505" s="36"/>
      <c r="H505" s="36"/>
      <c r="I505" s="36"/>
      <c r="J505" s="39"/>
      <c r="K505" s="36"/>
      <c r="L505" s="36"/>
      <c r="M505" s="36"/>
      <c r="O505" s="8"/>
      <c r="P505" s="8"/>
    </row>
    <row r="506" spans="1:16" ht="12.75">
      <c r="A506" s="45" t="s">
        <v>114</v>
      </c>
      <c r="B506" s="20"/>
      <c r="C506" s="36">
        <f>SUM(C500:C505)/5</f>
        <v>5707.031999999999</v>
      </c>
      <c r="D506" s="36">
        <f>SUM(D500:D505)/5</f>
        <v>0</v>
      </c>
      <c r="E506" s="36">
        <f>SUM(E500:E505)/5</f>
        <v>5707.031999999999</v>
      </c>
      <c r="F506" s="36">
        <f>SUM(F500:F505)/5</f>
        <v>100776.32421749443</v>
      </c>
      <c r="H506" s="36"/>
      <c r="I506" s="36">
        <f>SUM(I500:I505)/5</f>
        <v>963.7923382448059</v>
      </c>
      <c r="J506" s="39"/>
      <c r="K506" s="36">
        <f>SUM(K500:K505)/5</f>
        <v>963.7923382448059</v>
      </c>
      <c r="L506" s="36">
        <f>SUM(L500:L505)/5</f>
        <v>79997.50807499999</v>
      </c>
      <c r="M506" s="36">
        <f>SUM(M500:M505)/5</f>
        <v>180773.83229249442</v>
      </c>
      <c r="O506" s="4">
        <f>F506/M506</f>
        <v>0.5574718582855345</v>
      </c>
      <c r="P506" s="4">
        <f>L506/M506</f>
        <v>0.4425281417144655</v>
      </c>
    </row>
    <row r="507" spans="1:16" ht="12.75">
      <c r="A507" s="45"/>
      <c r="B507" s="20"/>
      <c r="C507" s="36"/>
      <c r="D507" s="34"/>
      <c r="E507" s="36"/>
      <c r="F507" s="36"/>
      <c r="H507" s="36"/>
      <c r="I507" s="36"/>
      <c r="J507" s="39"/>
      <c r="K507" s="36"/>
      <c r="L507" s="36"/>
      <c r="M507" s="36"/>
      <c r="O507" s="8"/>
      <c r="P507" s="8"/>
    </row>
    <row r="508" spans="1:16" ht="12.75">
      <c r="A508" s="45">
        <v>1546</v>
      </c>
      <c r="B508" s="20"/>
      <c r="C508" s="34">
        <v>28887.384</v>
      </c>
      <c r="D508" s="34"/>
      <c r="E508" s="34">
        <f>C508+D508</f>
        <v>28887.384</v>
      </c>
      <c r="F508" s="34">
        <v>446895.84</v>
      </c>
      <c r="H508" s="34">
        <v>10594.053</v>
      </c>
      <c r="I508" s="34">
        <v>3488.581948657092</v>
      </c>
      <c r="J508" s="39"/>
      <c r="K508" s="34">
        <f>I508+J508</f>
        <v>3488.581948657092</v>
      </c>
      <c r="L508" s="34">
        <v>317821.58999999997</v>
      </c>
      <c r="M508" s="34">
        <f>F508+L508</f>
        <v>764717.4299999999</v>
      </c>
      <c r="O508" s="4">
        <f>F508/M508</f>
        <v>0.5843934275174034</v>
      </c>
      <c r="P508" s="4">
        <f>L508/M508</f>
        <v>0.4156065724825966</v>
      </c>
    </row>
    <row r="509" spans="1:16" ht="12.75">
      <c r="A509" s="45">
        <v>1547</v>
      </c>
      <c r="B509" s="20"/>
      <c r="C509" s="34">
        <v>17964.476</v>
      </c>
      <c r="D509" s="34"/>
      <c r="E509" s="34">
        <f>C509+D509</f>
        <v>17964.476</v>
      </c>
      <c r="F509" s="34">
        <v>346542.8</v>
      </c>
      <c r="H509" s="34">
        <v>11588.934</v>
      </c>
      <c r="I509" s="34">
        <v>3604.5613053458396</v>
      </c>
      <c r="J509" s="39"/>
      <c r="K509" s="34">
        <f>I509+J509</f>
        <v>3604.5613053458396</v>
      </c>
      <c r="L509" s="34">
        <v>347668.01999999996</v>
      </c>
      <c r="M509" s="34">
        <f>F509+L509</f>
        <v>694210.82</v>
      </c>
      <c r="O509" s="4">
        <f>F509/M509</f>
        <v>0.49918956895543637</v>
      </c>
      <c r="P509" s="4">
        <f>L509/M509</f>
        <v>0.5008104310445637</v>
      </c>
    </row>
    <row r="510" spans="1:16" ht="12.75">
      <c r="A510" s="45">
        <v>1548</v>
      </c>
      <c r="B510" s="20"/>
      <c r="C510" s="34">
        <v>13473.3</v>
      </c>
      <c r="D510" s="34"/>
      <c r="E510" s="34">
        <f>C510+D510</f>
        <v>13473.3</v>
      </c>
      <c r="F510" s="34">
        <v>259906</v>
      </c>
      <c r="H510" s="34">
        <v>5812.5</v>
      </c>
      <c r="I510" s="34">
        <v>1807.8895425</v>
      </c>
      <c r="J510" s="39"/>
      <c r="K510" s="34">
        <f>I510+J510</f>
        <v>1807.8895425</v>
      </c>
      <c r="L510" s="34">
        <v>174375</v>
      </c>
      <c r="M510" s="34">
        <f>F510+L510</f>
        <v>434281</v>
      </c>
      <c r="O510" s="4">
        <f>F510/M510</f>
        <v>0.5984742597534776</v>
      </c>
      <c r="P510" s="4">
        <f>L510/M510</f>
        <v>0.40152574024652243</v>
      </c>
    </row>
    <row r="511" spans="1:16" ht="12.75">
      <c r="A511" s="45">
        <v>1549</v>
      </c>
      <c r="B511" s="20"/>
      <c r="C511" s="34">
        <v>30210.765</v>
      </c>
      <c r="D511" s="34"/>
      <c r="E511" s="34">
        <f>C511+D511</f>
        <v>30210.765</v>
      </c>
      <c r="F511" s="34">
        <v>582779.19</v>
      </c>
      <c r="H511" s="34">
        <v>2157.583</v>
      </c>
      <c r="I511" s="34">
        <v>709.576443723588</v>
      </c>
      <c r="J511" s="39"/>
      <c r="K511" s="34">
        <f>I511+J511</f>
        <v>709.576443723588</v>
      </c>
      <c r="L511" s="34">
        <v>69677.822</v>
      </c>
      <c r="M511" s="34">
        <f>F511+L511</f>
        <v>652457.012</v>
      </c>
      <c r="O511" s="4">
        <f>F511/M511</f>
        <v>0.8932070301667628</v>
      </c>
      <c r="P511" s="4">
        <f>L511/M511</f>
        <v>0.10679296983323708</v>
      </c>
    </row>
    <row r="512" spans="1:16" ht="12.75">
      <c r="A512" s="45">
        <v>1550</v>
      </c>
      <c r="B512" s="20"/>
      <c r="C512" s="34">
        <v>19612.73</v>
      </c>
      <c r="D512" s="34"/>
      <c r="E512" s="34">
        <f>C512+D512</f>
        <v>19612.73</v>
      </c>
      <c r="F512" s="34">
        <v>378338.35</v>
      </c>
      <c r="H512" s="34">
        <v>1022.417</v>
      </c>
      <c r="I512" s="34">
        <v>349.807948836412</v>
      </c>
      <c r="J512" s="39"/>
      <c r="K512" s="34">
        <f>I512+J512</f>
        <v>349.807948836412</v>
      </c>
      <c r="L512" s="34">
        <v>34762.178</v>
      </c>
      <c r="M512" s="34">
        <f>F512+L512</f>
        <v>413100.528</v>
      </c>
      <c r="O512" s="4">
        <f>F512/M512</f>
        <v>0.9158505602297365</v>
      </c>
      <c r="P512" s="4">
        <f>L512/M512</f>
        <v>0.08414943977026337</v>
      </c>
    </row>
    <row r="513" spans="1:16" ht="12.75">
      <c r="A513" s="45"/>
      <c r="B513" s="20"/>
      <c r="C513" s="36"/>
      <c r="D513" s="34"/>
      <c r="E513" s="36"/>
      <c r="F513" s="36"/>
      <c r="H513" s="36"/>
      <c r="I513" s="36"/>
      <c r="J513" s="39"/>
      <c r="K513" s="36"/>
      <c r="L513" s="36"/>
      <c r="M513" s="36"/>
      <c r="O513" s="8"/>
      <c r="P513" s="8"/>
    </row>
    <row r="514" spans="1:16" ht="12.75">
      <c r="A514" s="45" t="s">
        <v>119</v>
      </c>
      <c r="B514" s="20"/>
      <c r="C514" s="36">
        <f>SUM(C508:C513)/5</f>
        <v>22029.731</v>
      </c>
      <c r="D514" s="36">
        <f>SUM(D508:D513)/5</f>
        <v>0</v>
      </c>
      <c r="E514" s="36">
        <f>SUM(E508:E513)/5</f>
        <v>22029.731</v>
      </c>
      <c r="F514" s="36">
        <f>SUM(F508:F513)/5</f>
        <v>402892.43600000005</v>
      </c>
      <c r="H514" s="36"/>
      <c r="I514" s="36">
        <f>SUM(I508:I513)/5</f>
        <v>1992.0834378125867</v>
      </c>
      <c r="J514" s="39"/>
      <c r="K514" s="36">
        <f>SUM(K508:K513)/5</f>
        <v>1992.0834378125867</v>
      </c>
      <c r="L514" s="36">
        <f>SUM(L508:L513)/5</f>
        <v>188860.92199999996</v>
      </c>
      <c r="M514" s="36">
        <f>SUM(M508:M513)/5</f>
        <v>591753.358</v>
      </c>
      <c r="O514" s="4">
        <f>F514/M514</f>
        <v>0.6808452044305933</v>
      </c>
      <c r="P514" s="4">
        <f>L514/M514</f>
        <v>0.31915479556940674</v>
      </c>
    </row>
    <row r="515" spans="1:16" ht="12.75">
      <c r="A515" s="45"/>
      <c r="B515" s="20"/>
      <c r="C515" s="36"/>
      <c r="E515" s="36"/>
      <c r="F515" s="36"/>
      <c r="H515" s="36"/>
      <c r="I515" s="36"/>
      <c r="J515" s="39"/>
      <c r="K515" s="36"/>
      <c r="L515" s="36"/>
      <c r="M515" s="36"/>
      <c r="O515" s="8"/>
      <c r="P515" s="8"/>
    </row>
    <row r="516" spans="1:16" ht="12.75">
      <c r="A516" s="45">
        <v>1551</v>
      </c>
      <c r="B516" s="20"/>
      <c r="C516" s="34">
        <v>10462.166</v>
      </c>
      <c r="E516" s="34">
        <f>C516+D516</f>
        <v>10462.166</v>
      </c>
      <c r="F516" s="34">
        <v>288299.33</v>
      </c>
      <c r="H516" s="34">
        <v>96.448</v>
      </c>
      <c r="I516" s="34">
        <v>35.808282465231464</v>
      </c>
      <c r="J516" s="39"/>
      <c r="K516" s="34">
        <f>I516+J516</f>
        <v>35.808282465231464</v>
      </c>
      <c r="L516" s="34">
        <v>2777.7023999999997</v>
      </c>
      <c r="M516" s="34">
        <f>F516+L516</f>
        <v>291077.0324</v>
      </c>
      <c r="O516" s="4">
        <f>F516/M516</f>
        <v>0.9904571570724863</v>
      </c>
      <c r="P516" s="4">
        <f>L516/M516</f>
        <v>0.009542842927513643</v>
      </c>
    </row>
    <row r="517" spans="1:16" ht="12.75">
      <c r="A517" s="45">
        <v>1552</v>
      </c>
      <c r="B517" s="20"/>
      <c r="C517" s="34">
        <v>9567.14</v>
      </c>
      <c r="E517" s="34">
        <f>C517+D517</f>
        <v>9567.14</v>
      </c>
      <c r="F517" s="34">
        <v>83508.79</v>
      </c>
      <c r="H517" s="34">
        <v>218</v>
      </c>
      <c r="I517" s="34">
        <v>74.58613544800001</v>
      </c>
      <c r="J517" s="39"/>
      <c r="K517" s="34">
        <f>I517+J517</f>
        <v>74.58613544800001</v>
      </c>
      <c r="L517" s="34">
        <v>7194</v>
      </c>
      <c r="M517" s="34">
        <f>F517+L517</f>
        <v>90702.79</v>
      </c>
      <c r="O517" s="4">
        <f>F517/M517</f>
        <v>0.9206860119738324</v>
      </c>
      <c r="P517" s="4">
        <f>L517/M517</f>
        <v>0.07931398802616767</v>
      </c>
    </row>
    <row r="518" spans="1:16" ht="12.75">
      <c r="A518" s="45">
        <v>1553</v>
      </c>
      <c r="B518" s="20"/>
      <c r="C518" s="34">
        <f>(C517+C519)/2</f>
        <v>9299.708999999999</v>
      </c>
      <c r="E518" s="34">
        <f>(E517+E519)/2</f>
        <v>9299.708999999999</v>
      </c>
      <c r="F518" s="34">
        <f>(F517+F519)/2</f>
        <v>81353.64499999999</v>
      </c>
      <c r="H518" s="36"/>
      <c r="I518" s="34">
        <f>(I517+I519)/2</f>
        <v>151.08742919954585</v>
      </c>
      <c r="J518" s="34"/>
      <c r="K518" s="34">
        <f>I518+J518</f>
        <v>151.08742919954585</v>
      </c>
      <c r="L518" s="34">
        <f>(L517+L519)/2</f>
        <v>14631</v>
      </c>
      <c r="M518" s="34">
        <f>F518+L518</f>
        <v>95984.64499999999</v>
      </c>
      <c r="O518" s="4">
        <f>F518/M518</f>
        <v>0.8475693690381414</v>
      </c>
      <c r="P518" s="4">
        <f>L518/M518</f>
        <v>0.15243063096185855</v>
      </c>
    </row>
    <row r="519" spans="1:16" ht="12.75">
      <c r="A519" s="45">
        <v>1554</v>
      </c>
      <c r="B519" s="20"/>
      <c r="C519" s="34">
        <v>9032.278</v>
      </c>
      <c r="E519" s="34">
        <f>C519+D519</f>
        <v>9032.278</v>
      </c>
      <c r="F519" s="34">
        <v>79198.5</v>
      </c>
      <c r="H519" s="34">
        <v>613</v>
      </c>
      <c r="I519" s="34">
        <v>227.58872295109168</v>
      </c>
      <c r="J519" s="39"/>
      <c r="K519" s="34">
        <f>I519+J519</f>
        <v>227.58872295109168</v>
      </c>
      <c r="L519" s="34">
        <v>22068</v>
      </c>
      <c r="M519" s="34">
        <f>F519+L519</f>
        <v>101266.5</v>
      </c>
      <c r="O519" s="4">
        <f>F519/M519</f>
        <v>0.7820799573402852</v>
      </c>
      <c r="P519" s="4">
        <f>L519/M519</f>
        <v>0.2179200426597147</v>
      </c>
    </row>
    <row r="520" spans="1:16" ht="12.75">
      <c r="A520" s="45">
        <v>1555</v>
      </c>
      <c r="B520" s="20"/>
      <c r="C520" s="34">
        <v>8782.983</v>
      </c>
      <c r="E520" s="34">
        <f>C520+D520</f>
        <v>8782.983</v>
      </c>
      <c r="F520" s="34">
        <v>77012.58</v>
      </c>
      <c r="H520" s="34">
        <v>929.055</v>
      </c>
      <c r="I520" s="34">
        <v>344.9305725959649</v>
      </c>
      <c r="J520" s="39"/>
      <c r="K520" s="34">
        <f>I520+J520</f>
        <v>344.9305725959649</v>
      </c>
      <c r="L520" s="34">
        <v>33445.98</v>
      </c>
      <c r="M520" s="34">
        <f>F520+L520</f>
        <v>110458.56</v>
      </c>
      <c r="O520" s="4">
        <f>F520/M520</f>
        <v>0.6972078940735784</v>
      </c>
      <c r="P520" s="4">
        <f>L520/M520</f>
        <v>0.3027921059264217</v>
      </c>
    </row>
    <row r="521" spans="1:16" ht="12.75">
      <c r="A521" s="45"/>
      <c r="B521" s="20"/>
      <c r="C521" s="36"/>
      <c r="E521" s="36"/>
      <c r="F521" s="36"/>
      <c r="H521" s="36"/>
      <c r="I521" s="36"/>
      <c r="J521" s="39"/>
      <c r="K521" s="36"/>
      <c r="L521" s="36"/>
      <c r="M521" s="36"/>
      <c r="O521" s="8"/>
      <c r="P521" s="8"/>
    </row>
    <row r="522" spans="1:16" ht="12.75">
      <c r="A522" s="45" t="s">
        <v>126</v>
      </c>
      <c r="B522" s="20"/>
      <c r="C522" s="36">
        <f>SUM(C516:C521)/5</f>
        <v>9428.8552</v>
      </c>
      <c r="E522" s="36">
        <f>SUM(E516:E521)/5</f>
        <v>9428.8552</v>
      </c>
      <c r="F522" s="36">
        <f>SUM(F516:F521)/5</f>
        <v>121874.56899999999</v>
      </c>
      <c r="H522" s="36"/>
      <c r="I522" s="36">
        <f>SUM(I516:I521)/5</f>
        <v>166.80022853196678</v>
      </c>
      <c r="J522" s="39"/>
      <c r="K522" s="36">
        <f>SUM(K516:K521)/5</f>
        <v>166.80022853196678</v>
      </c>
      <c r="L522" s="36">
        <f>SUM(L516:L521)/5</f>
        <v>16023.336480000002</v>
      </c>
      <c r="M522" s="36">
        <f>SUM(M516:M521)/5</f>
        <v>137897.90548000002</v>
      </c>
      <c r="O522" s="4">
        <f>F522/M522</f>
        <v>0.8838029016885687</v>
      </c>
      <c r="P522" s="4">
        <f>L522/M522</f>
        <v>0.11619709831143114</v>
      </c>
    </row>
    <row r="523" spans="1:16" ht="12.75">
      <c r="A523" s="45"/>
      <c r="B523" s="20"/>
      <c r="C523" s="36"/>
      <c r="E523" s="36"/>
      <c r="F523" s="36"/>
      <c r="H523" s="36"/>
      <c r="I523" s="36"/>
      <c r="J523" s="39"/>
      <c r="K523" s="36"/>
      <c r="L523" s="36"/>
      <c r="M523" s="36"/>
      <c r="O523" s="8"/>
      <c r="P523" s="8"/>
    </row>
    <row r="524" spans="1:16" ht="12.75">
      <c r="A524" s="45">
        <v>1556</v>
      </c>
      <c r="B524" s="20"/>
      <c r="C524" s="34">
        <v>8707.304</v>
      </c>
      <c r="E524" s="34">
        <f>C524+D524</f>
        <v>8707.304</v>
      </c>
      <c r="F524" s="34">
        <v>76349.01</v>
      </c>
      <c r="H524" s="34">
        <v>1025</v>
      </c>
      <c r="I524" s="34">
        <v>380.55210607645836</v>
      </c>
      <c r="J524" s="39"/>
      <c r="K524" s="34">
        <f>I524+J524</f>
        <v>380.55210607645836</v>
      </c>
      <c r="L524" s="34">
        <v>36900</v>
      </c>
      <c r="M524" s="34">
        <f>F524+L524</f>
        <v>113249.01</v>
      </c>
      <c r="O524" s="4">
        <f>F524/M524</f>
        <v>0.6741693371094369</v>
      </c>
      <c r="P524" s="4">
        <f>L524/M524</f>
        <v>0.325830662890563</v>
      </c>
    </row>
    <row r="525" spans="1:16" ht="12.75">
      <c r="A525" s="45">
        <v>1557</v>
      </c>
      <c r="B525" s="20"/>
      <c r="C525" s="34">
        <f>(C524+332)/2</f>
        <v>4519.652</v>
      </c>
      <c r="E525" s="34">
        <f>C525+D525</f>
        <v>4519.652</v>
      </c>
      <c r="F525" s="34">
        <f>(F524+332)/2</f>
        <v>38340.505</v>
      </c>
      <c r="H525" s="36"/>
      <c r="I525" s="34">
        <f>(I524+332)/2</f>
        <v>356.2760530382292</v>
      </c>
      <c r="J525" s="34"/>
      <c r="K525" s="34">
        <f>I525+J525</f>
        <v>356.2760530382292</v>
      </c>
      <c r="L525" s="34">
        <f>(L524+L526)/2</f>
        <v>30004.120799999997</v>
      </c>
      <c r="M525" s="34">
        <f>F525+L525</f>
        <v>68344.6258</v>
      </c>
      <c r="O525" s="4">
        <f>F525/M525</f>
        <v>0.5609878545856345</v>
      </c>
      <c r="P525" s="4">
        <f>L525/M525</f>
        <v>0.43901214541436556</v>
      </c>
    </row>
    <row r="526" spans="1:16" ht="12.75">
      <c r="A526" s="45">
        <v>1558</v>
      </c>
      <c r="B526" s="20"/>
      <c r="C526" s="34">
        <f>(C525+C527)/2</f>
        <v>3388.9945</v>
      </c>
      <c r="E526" s="34">
        <f>C526+D526</f>
        <v>3388.9945</v>
      </c>
      <c r="F526" s="34">
        <f>(F525+F527)/2</f>
        <v>29071.2375</v>
      </c>
      <c r="H526" s="36"/>
      <c r="I526" s="34">
        <f>(I525+I527)/2</f>
        <v>261.7713859632938</v>
      </c>
      <c r="J526" s="34"/>
      <c r="K526" s="34">
        <f>I526+J526</f>
        <v>261.7713859632938</v>
      </c>
      <c r="L526" s="34">
        <f>(L525+L527)/2</f>
        <v>23108.241599999998</v>
      </c>
      <c r="M526" s="34">
        <f>F526+L526</f>
        <v>52179.4791</v>
      </c>
      <c r="O526" s="4">
        <f>F526/M526</f>
        <v>0.557139281599306</v>
      </c>
      <c r="P526" s="4">
        <f>L526/M526</f>
        <v>0.442860718400694</v>
      </c>
    </row>
    <row r="527" spans="1:16" ht="12.75">
      <c r="A527" s="45">
        <v>1559</v>
      </c>
      <c r="B527" s="20"/>
      <c r="C527" s="34">
        <v>2258.337</v>
      </c>
      <c r="E527" s="34">
        <f>C527+D527</f>
        <v>2258.337</v>
      </c>
      <c r="F527" s="34">
        <v>19801.97</v>
      </c>
      <c r="H527" s="34">
        <v>453.4593</v>
      </c>
      <c r="I527" s="34">
        <v>167.26671888835847</v>
      </c>
      <c r="J527" s="39"/>
      <c r="K527" s="34">
        <f>I527+J527</f>
        <v>167.26671888835847</v>
      </c>
      <c r="L527" s="34">
        <v>16212.362399999998</v>
      </c>
      <c r="M527" s="34">
        <f>F527+L527</f>
        <v>36014.3324</v>
      </c>
      <c r="O527" s="4">
        <f>F527/M527</f>
        <v>0.5498358203635617</v>
      </c>
      <c r="P527" s="4">
        <f>L527/M527</f>
        <v>0.45016417963643823</v>
      </c>
    </row>
    <row r="528" spans="1:16" ht="12.75">
      <c r="A528" s="45">
        <v>1560</v>
      </c>
      <c r="B528" s="20"/>
      <c r="C528" s="34">
        <v>1888.1</v>
      </c>
      <c r="E528" s="34">
        <f>C528+D528</f>
        <v>1888.1</v>
      </c>
      <c r="F528" s="34">
        <v>16555.59</v>
      </c>
      <c r="H528" s="34">
        <v>379.122</v>
      </c>
      <c r="I528" s="34">
        <v>139.84605770960857</v>
      </c>
      <c r="J528" s="39"/>
      <c r="K528" s="34">
        <f>I528+J528</f>
        <v>139.84605770960857</v>
      </c>
      <c r="L528" s="34">
        <v>13554.608999999999</v>
      </c>
      <c r="M528" s="34">
        <f>F528+L528</f>
        <v>30110.199</v>
      </c>
      <c r="O528" s="4">
        <f>F528/M528</f>
        <v>0.5498332973488484</v>
      </c>
      <c r="P528" s="4">
        <f>L528/M528</f>
        <v>0.4501667026511515</v>
      </c>
    </row>
    <row r="529" spans="1:16" ht="12.75">
      <c r="A529" s="45"/>
      <c r="B529" s="20"/>
      <c r="C529" s="36"/>
      <c r="E529" s="36"/>
      <c r="F529" s="36"/>
      <c r="H529" s="36"/>
      <c r="I529" s="36"/>
      <c r="J529" s="39"/>
      <c r="K529" s="36"/>
      <c r="L529" s="36"/>
      <c r="M529" s="36"/>
      <c r="O529" s="8"/>
      <c r="P529" s="8"/>
    </row>
    <row r="530" spans="1:16" ht="12.75">
      <c r="A530" s="45" t="s">
        <v>131</v>
      </c>
      <c r="B530" s="20"/>
      <c r="C530" s="36">
        <f>SUM(C524:C529)/5</f>
        <v>4152.477499999999</v>
      </c>
      <c r="E530" s="36">
        <f>SUM(E524:E529)/5</f>
        <v>4152.477499999999</v>
      </c>
      <c r="F530" s="36">
        <f>SUM(F524:F529)/5</f>
        <v>36023.66249999999</v>
      </c>
      <c r="H530" s="36"/>
      <c r="I530" s="36">
        <f>SUM(I524:I529)/5</f>
        <v>261.1424643351897</v>
      </c>
      <c r="J530" s="39"/>
      <c r="K530" s="36">
        <f>SUM(K524:K529)/5</f>
        <v>261.1424643351897</v>
      </c>
      <c r="L530" s="36">
        <f>SUM(L524:L529)/5</f>
        <v>23955.866759999997</v>
      </c>
      <c r="M530" s="36">
        <f>SUM(M524:M529)/5</f>
        <v>59979.52926</v>
      </c>
      <c r="O530" s="4">
        <f>F530/M530</f>
        <v>0.6005992868640928</v>
      </c>
      <c r="P530" s="4">
        <f>L530/M530</f>
        <v>0.3994007131359069</v>
      </c>
    </row>
    <row r="531" spans="1:16" ht="12.75">
      <c r="A531" s="45"/>
      <c r="B531" s="20"/>
      <c r="C531" s="36"/>
      <c r="E531" s="36"/>
      <c r="F531" s="36"/>
      <c r="H531" s="36"/>
      <c r="I531" s="36"/>
      <c r="J531" s="39"/>
      <c r="K531" s="36"/>
      <c r="L531" s="36"/>
      <c r="M531" s="36"/>
      <c r="O531" s="8"/>
      <c r="P531" s="8"/>
    </row>
    <row r="532" spans="1:16" ht="12.75">
      <c r="A532" s="45">
        <v>1561</v>
      </c>
      <c r="B532" s="20"/>
      <c r="C532" s="34">
        <v>81437.882</v>
      </c>
      <c r="E532" s="34">
        <f>C532+D532</f>
        <v>81437.882</v>
      </c>
      <c r="F532" s="34">
        <v>707845.48</v>
      </c>
      <c r="H532" s="34">
        <v>266.746</v>
      </c>
      <c r="I532" s="34">
        <v>95.99153580458429</v>
      </c>
      <c r="J532" s="39"/>
      <c r="K532" s="34">
        <f>I532+J532</f>
        <v>95.99153580458429</v>
      </c>
      <c r="L532" s="34">
        <v>9289.455</v>
      </c>
      <c r="M532" s="34">
        <f>F532+L532</f>
        <v>717134.9349999999</v>
      </c>
      <c r="O532" s="4">
        <f>F532/M532</f>
        <v>0.9870464335976047</v>
      </c>
      <c r="P532" s="4">
        <f>L532/M532</f>
        <v>0.01295356640239539</v>
      </c>
    </row>
    <row r="533" spans="1:16" ht="12.75">
      <c r="A533" s="45">
        <v>1562</v>
      </c>
      <c r="B533" s="20"/>
      <c r="C533" s="34">
        <v>25374.949</v>
      </c>
      <c r="E533" s="34">
        <f>C533+D533</f>
        <v>25374.949</v>
      </c>
      <c r="F533" s="34">
        <f>8.68938448310545*E533</f>
        <v>220492.68810019214</v>
      </c>
      <c r="H533" s="34">
        <v>2122.708</v>
      </c>
      <c r="I533" s="34">
        <v>727.2654733373308</v>
      </c>
      <c r="J533" s="39"/>
      <c r="K533" s="34">
        <f>I533+J533</f>
        <v>727.2654733373308</v>
      </c>
      <c r="L533" s="34">
        <v>70152.951</v>
      </c>
      <c r="M533" s="34">
        <f>F533+L533</f>
        <v>290645.6391001921</v>
      </c>
      <c r="O533" s="4">
        <f>F533/M533</f>
        <v>0.7586306430841832</v>
      </c>
      <c r="P533" s="4">
        <f>L533/M533</f>
        <v>0.24136935691581698</v>
      </c>
    </row>
    <row r="534" spans="1:16" ht="12.75">
      <c r="A534" s="45">
        <v>1563</v>
      </c>
      <c r="B534" s="20"/>
      <c r="C534" s="34">
        <v>6584.905</v>
      </c>
      <c r="E534" s="34">
        <f>C534+D534</f>
        <v>6584.905</v>
      </c>
      <c r="F534" s="34">
        <f>8.68938448310545*E534</f>
        <v>57218.77132972349</v>
      </c>
      <c r="H534" s="34">
        <v>517.4530000000001</v>
      </c>
      <c r="I534" s="34">
        <v>177.0891363910435</v>
      </c>
      <c r="J534" s="39"/>
      <c r="K534" s="34">
        <f>I534+J534</f>
        <v>177.0891363910435</v>
      </c>
      <c r="L534" s="34">
        <v>17080.962</v>
      </c>
      <c r="M534" s="34">
        <f>F534+L534</f>
        <v>74299.73332972349</v>
      </c>
      <c r="O534" s="4">
        <f>F534/M534</f>
        <v>0.7701073579335878</v>
      </c>
      <c r="P534" s="4">
        <f>L534/M534</f>
        <v>0.22989264206641222</v>
      </c>
    </row>
    <row r="535" spans="1:16" ht="12.75">
      <c r="A535" s="45">
        <v>1564</v>
      </c>
      <c r="B535" s="20"/>
      <c r="C535" s="34">
        <v>4123.182</v>
      </c>
      <c r="E535" s="34">
        <f>C535+D535</f>
        <v>4123.182</v>
      </c>
      <c r="F535" s="34">
        <f>8.68938448310545*E535</f>
        <v>35827.91369181969</v>
      </c>
      <c r="H535" s="36">
        <v>424.282</v>
      </c>
      <c r="I535" s="34">
        <f>H535*0.373241712*(22/24)</f>
        <v>145.16309504655197</v>
      </c>
      <c r="J535" s="34"/>
      <c r="K535" s="34">
        <f>I535+J535</f>
        <v>145.16309504655197</v>
      </c>
      <c r="L535" s="34">
        <f>96.4521677624705*K535</f>
        <v>14001.29519634948</v>
      </c>
      <c r="M535" s="34">
        <f>F535+L535</f>
        <v>49829.20888816917</v>
      </c>
      <c r="O535" s="4">
        <f>F535/M535</f>
        <v>0.7190142988669087</v>
      </c>
      <c r="P535" s="4">
        <f>L535/M535</f>
        <v>0.28098570113309135</v>
      </c>
    </row>
    <row r="536" spans="1:16" ht="12.75">
      <c r="A536" s="45">
        <v>1565</v>
      </c>
      <c r="B536" s="20"/>
      <c r="C536" s="34">
        <v>3795.595</v>
      </c>
      <c r="E536" s="34">
        <f>C536+D536</f>
        <v>3795.595</v>
      </c>
      <c r="F536" s="34">
        <f>8.68938448310545*E536</f>
        <v>32981.384297152625</v>
      </c>
      <c r="H536" s="36">
        <v>390.573</v>
      </c>
      <c r="I536" s="34">
        <f>H536*0.373241712*(22/24)</f>
        <v>133.629957249228</v>
      </c>
      <c r="J536" s="34"/>
      <c r="K536" s="34">
        <f>I536+J536</f>
        <v>133.629957249228</v>
      </c>
      <c r="L536" s="34">
        <f>96.4521677624705*K536</f>
        <v>12888.899054694299</v>
      </c>
      <c r="M536" s="34">
        <f>F536+L536</f>
        <v>45870.28335184693</v>
      </c>
      <c r="O536" s="4">
        <f>F536/M536</f>
        <v>0.7190141827590141</v>
      </c>
      <c r="P536" s="4">
        <f>L536/M536</f>
        <v>0.2809858172409859</v>
      </c>
    </row>
    <row r="537" spans="1:16" ht="12.75">
      <c r="A537" s="45"/>
      <c r="B537" s="20"/>
      <c r="C537" s="36"/>
      <c r="E537" s="36"/>
      <c r="F537" s="36"/>
      <c r="H537" s="36"/>
      <c r="I537" s="36"/>
      <c r="J537" s="36"/>
      <c r="K537" s="36"/>
      <c r="L537" s="36"/>
      <c r="M537" s="36"/>
      <c r="O537" s="8"/>
      <c r="P537" s="8"/>
    </row>
    <row r="538" spans="1:16" ht="12.75">
      <c r="A538" s="45" t="s">
        <v>136</v>
      </c>
      <c r="B538" s="20"/>
      <c r="C538" s="36">
        <f>SUM(C532:C537)/5</f>
        <v>24263.302600000003</v>
      </c>
      <c r="E538" s="36">
        <f>SUM(E532:E537)/5</f>
        <v>24263.302600000003</v>
      </c>
      <c r="F538" s="36">
        <f>SUM(F532:F537)/5</f>
        <v>210873.24748377758</v>
      </c>
      <c r="H538" s="36"/>
      <c r="I538" s="36">
        <f>SUM(I532:I537)/5</f>
        <v>255.82783956574772</v>
      </c>
      <c r="J538" s="36"/>
      <c r="K538" s="36">
        <f>SUM(K532:K537)/5</f>
        <v>255.82783956574772</v>
      </c>
      <c r="L538" s="36">
        <f>SUM(L532:L537)/5</f>
        <v>24682.712450208757</v>
      </c>
      <c r="M538" s="36">
        <f>SUM(M532:M537)/5</f>
        <v>235555.95993398633</v>
      </c>
      <c r="O538" s="4">
        <f>F538/M538</f>
        <v>0.895215079859894</v>
      </c>
      <c r="P538" s="4">
        <f>L538/M538</f>
        <v>0.10478492014010596</v>
      </c>
    </row>
    <row r="539" spans="1:16" ht="12.75">
      <c r="A539" s="45"/>
      <c r="B539" s="20"/>
      <c r="C539" s="36"/>
      <c r="E539" s="36"/>
      <c r="F539" s="36"/>
      <c r="H539" s="36"/>
      <c r="I539" s="36"/>
      <c r="J539" s="36"/>
      <c r="K539" s="36"/>
      <c r="L539" s="36"/>
      <c r="M539" s="36"/>
      <c r="O539" s="8"/>
      <c r="P539" s="8"/>
    </row>
    <row r="540" spans="1:16" ht="12.75">
      <c r="A540" s="45">
        <v>1566</v>
      </c>
      <c r="B540" s="20"/>
      <c r="C540" s="34">
        <v>8769.921</v>
      </c>
      <c r="E540" s="34">
        <f>C540+D540</f>
        <v>8769.921</v>
      </c>
      <c r="F540" s="34">
        <f>8.68938448310545*E540</f>
        <v>76205.21545546062</v>
      </c>
      <c r="H540" s="36">
        <f>988.917+256.546</f>
        <v>1245.463</v>
      </c>
      <c r="I540" s="34">
        <f>H540*0.373241712*(22/24)</f>
        <v>426.12051382326797</v>
      </c>
      <c r="J540" s="34"/>
      <c r="K540" s="34">
        <f>I540+J540</f>
        <v>426.12051382326797</v>
      </c>
      <c r="L540" s="34">
        <f>96.4521677624705*K540</f>
        <v>41100.24728631197</v>
      </c>
      <c r="M540" s="34">
        <f>F540+L540</f>
        <v>117305.46274177259</v>
      </c>
      <c r="O540" s="4">
        <f>F540/M540</f>
        <v>0.649630577079032</v>
      </c>
      <c r="P540" s="4">
        <f>L540/M540</f>
        <v>0.35036942292096795</v>
      </c>
    </row>
    <row r="541" spans="1:16" ht="12.75">
      <c r="A541" s="45">
        <v>1567</v>
      </c>
      <c r="B541" s="20"/>
      <c r="C541" s="34">
        <v>12009.185</v>
      </c>
      <c r="E541" s="34">
        <f>C541+D541</f>
        <v>12009.185</v>
      </c>
      <c r="F541" s="34">
        <f>8.68938448310545*E541</f>
        <v>104352.42579374272</v>
      </c>
      <c r="H541" s="34">
        <v>579.79</v>
      </c>
      <c r="I541" s="34">
        <v>199.2262393988132</v>
      </c>
      <c r="J541" s="39"/>
      <c r="K541" s="34">
        <f>I541+J541</f>
        <v>199.2262393988132</v>
      </c>
      <c r="L541" s="34">
        <v>19221.417</v>
      </c>
      <c r="M541" s="34">
        <f>F541+L541</f>
        <v>123573.84279374272</v>
      </c>
      <c r="O541" s="4">
        <f>F541/M541</f>
        <v>0.8444539996050581</v>
      </c>
      <c r="P541" s="4">
        <f>L541/M541</f>
        <v>0.15554600039494196</v>
      </c>
    </row>
    <row r="542" spans="1:16" ht="12.75">
      <c r="A542" s="45">
        <v>1568</v>
      </c>
      <c r="B542" s="20"/>
      <c r="C542" s="34">
        <v>11703.67</v>
      </c>
      <c r="E542" s="34">
        <f>C542+D542</f>
        <v>11703.67</v>
      </c>
      <c r="F542" s="34">
        <f>8.68938448310545*E542</f>
        <v>101697.68849338675</v>
      </c>
      <c r="H542" s="34">
        <v>653.469</v>
      </c>
      <c r="I542" s="34">
        <v>227.0178159382677</v>
      </c>
      <c r="J542" s="39"/>
      <c r="K542" s="34">
        <f>I542+J542</f>
        <v>227.0178159382677</v>
      </c>
      <c r="L542" s="34">
        <v>21918.837</v>
      </c>
      <c r="M542" s="34">
        <f>F542+L542</f>
        <v>123616.52549338675</v>
      </c>
      <c r="O542" s="4">
        <f>F542/M542</f>
        <v>0.8226868380864448</v>
      </c>
      <c r="P542" s="4">
        <f>L542/M542</f>
        <v>0.17731316191355512</v>
      </c>
    </row>
    <row r="543" spans="1:16" ht="12.75">
      <c r="A543" s="45">
        <v>1569</v>
      </c>
      <c r="B543" s="20"/>
      <c r="C543" s="34">
        <v>12764.065</v>
      </c>
      <c r="E543" s="34">
        <f>C543+D543</f>
        <v>12764.065</v>
      </c>
      <c r="F543" s="34">
        <f>8.68938448310545*E543</f>
        <v>110911.86835234937</v>
      </c>
      <c r="H543" s="34">
        <v>606.1320000000001</v>
      </c>
      <c r="I543" s="34">
        <v>212.8132854706903</v>
      </c>
      <c r="J543" s="39"/>
      <c r="K543" s="34">
        <f>I543+J543</f>
        <v>212.8132854706903</v>
      </c>
      <c r="L543" s="34">
        <v>20561.775</v>
      </c>
      <c r="M543" s="34">
        <f>F543+L543</f>
        <v>131473.64335234938</v>
      </c>
      <c r="O543" s="4">
        <f>F543/M543</f>
        <v>0.8436053457125665</v>
      </c>
      <c r="P543" s="4">
        <f>L543/M543</f>
        <v>0.15639465428743343</v>
      </c>
    </row>
    <row r="544" spans="1:16" ht="12.75">
      <c r="A544" s="45">
        <v>1570</v>
      </c>
      <c r="B544" s="20"/>
      <c r="C544" s="34">
        <v>10240.318</v>
      </c>
      <c r="E544" s="34">
        <f>C544+D544</f>
        <v>10240.318</v>
      </c>
      <c r="F544" s="34">
        <f>8.68938448310545*E544</f>
        <v>88982.06033126543</v>
      </c>
      <c r="H544" s="36">
        <f>107.25+230.696</f>
        <v>337.946</v>
      </c>
      <c r="I544" s="34">
        <f>H544*0.373241712*(22/24)</f>
        <v>115.62424830325601</v>
      </c>
      <c r="J544" s="34"/>
      <c r="K544" s="34">
        <f>I544+J544</f>
        <v>115.62424830325601</v>
      </c>
      <c r="L544" s="34">
        <f>96.4521677624705*K544</f>
        <v>11152.209394755193</v>
      </c>
      <c r="M544" s="34">
        <f>F544+L544</f>
        <v>100134.26972602062</v>
      </c>
      <c r="O544" s="4">
        <f>F544/M544</f>
        <v>0.888627445676001</v>
      </c>
      <c r="P544" s="4">
        <f>L544/M544</f>
        <v>0.11137255432399894</v>
      </c>
    </row>
    <row r="545" spans="1:16" ht="12.75">
      <c r="A545" s="45"/>
      <c r="B545" s="20"/>
      <c r="C545" s="36"/>
      <c r="E545" s="36"/>
      <c r="F545" s="36"/>
      <c r="H545" s="36"/>
      <c r="I545" s="36"/>
      <c r="J545" s="36"/>
      <c r="K545" s="36"/>
      <c r="L545" s="36"/>
      <c r="M545" s="36"/>
      <c r="O545" s="8"/>
      <c r="P545" s="8"/>
    </row>
    <row r="546" spans="1:16" ht="12.75">
      <c r="A546" s="45" t="s">
        <v>137</v>
      </c>
      <c r="B546" s="20"/>
      <c r="C546" s="36">
        <f>SUM(C540:C545)/5</f>
        <v>11097.4318</v>
      </c>
      <c r="E546" s="36">
        <f>SUM(E540:E545)/5</f>
        <v>11097.4318</v>
      </c>
      <c r="F546" s="36">
        <f>SUM(F540:F545)/5</f>
        <v>96429.85168524098</v>
      </c>
      <c r="H546" s="36"/>
      <c r="I546" s="36">
        <f>SUM(I540:I545)/5</f>
        <v>236.16042058685903</v>
      </c>
      <c r="J546" s="36"/>
      <c r="K546" s="36">
        <f>SUM(K540:K545)/5</f>
        <v>236.16042058685903</v>
      </c>
      <c r="L546" s="36">
        <f>SUM(L540:L545)/5</f>
        <v>22790.897136213433</v>
      </c>
      <c r="M546" s="36">
        <f>SUM(M540:M545)/5</f>
        <v>119220.74882145443</v>
      </c>
      <c r="O546" s="4">
        <f>F546/M546</f>
        <v>0.808834474187499</v>
      </c>
      <c r="P546" s="4">
        <f>L546/M546</f>
        <v>0.1911655258125009</v>
      </c>
    </row>
    <row r="547" spans="1:16" ht="12.75">
      <c r="A547" s="45"/>
      <c r="B547" s="20"/>
      <c r="C547" s="36"/>
      <c r="E547" s="36"/>
      <c r="F547" s="36"/>
      <c r="H547" s="36"/>
      <c r="I547" s="36"/>
      <c r="J547" s="36"/>
      <c r="K547" s="36"/>
      <c r="L547" s="36"/>
      <c r="M547" s="36"/>
      <c r="O547" s="8"/>
      <c r="P547" s="8"/>
    </row>
    <row r="548" spans="1:16" ht="12.75">
      <c r="A548" s="45">
        <v>1571</v>
      </c>
      <c r="B548" s="20"/>
      <c r="C548" s="34">
        <v>7696.356</v>
      </c>
      <c r="E548" s="34">
        <f>C548+D548</f>
        <v>7696.356</v>
      </c>
      <c r="F548" s="34">
        <f>8.68938448310545*E548</f>
        <v>66876.59640285552</v>
      </c>
      <c r="H548" s="36">
        <v>395.324</v>
      </c>
      <c r="I548" s="34">
        <f>H548*0.373241712*(22/24)</f>
        <v>135.255456008464</v>
      </c>
      <c r="J548" s="34"/>
      <c r="K548" s="34">
        <f>I548+J548</f>
        <v>135.255456008464</v>
      </c>
      <c r="L548" s="34">
        <f>96.4521677624705*K548</f>
        <v>13045.681933717817</v>
      </c>
      <c r="M548" s="34">
        <f>F548+L548</f>
        <v>79922.27833657333</v>
      </c>
      <c r="O548" s="4">
        <f>F548/M548</f>
        <v>0.8367703948731405</v>
      </c>
      <c r="P548" s="4">
        <f>L548/M548</f>
        <v>0.16322960512685944</v>
      </c>
    </row>
    <row r="549" spans="1:16" ht="12.75">
      <c r="A549" s="45">
        <v>1572</v>
      </c>
      <c r="B549" s="20"/>
      <c r="C549" s="34">
        <v>7232.253</v>
      </c>
      <c r="E549" s="34">
        <f>C549+D549</f>
        <v>7232.253</v>
      </c>
      <c r="F549" s="34">
        <f>8.68938448310545*E549</f>
        <v>62843.82699609283</v>
      </c>
      <c r="H549" s="34">
        <v>253.365</v>
      </c>
      <c r="I549" s="34">
        <v>91.6373808731588</v>
      </c>
      <c r="J549" s="39"/>
      <c r="K549" s="34">
        <f>I549+J549</f>
        <v>91.6373808731588</v>
      </c>
      <c r="L549" s="34">
        <v>8870.949</v>
      </c>
      <c r="M549" s="34">
        <f>F549+L549</f>
        <v>71714.77599609282</v>
      </c>
      <c r="O549" s="4">
        <f>F549/M549</f>
        <v>0.8763023536393211</v>
      </c>
      <c r="P549" s="4">
        <f>L549/M549</f>
        <v>0.123697646360679</v>
      </c>
    </row>
    <row r="550" spans="1:16" ht="12.75">
      <c r="A550" s="45">
        <v>1573</v>
      </c>
      <c r="B550" s="20"/>
      <c r="C550" s="34">
        <v>12528.565</v>
      </c>
      <c r="E550" s="34">
        <f>C550+D550</f>
        <v>12528.565</v>
      </c>
      <c r="F550" s="34">
        <f>8.68938448310545*E550</f>
        <v>108865.51830657803</v>
      </c>
      <c r="H550" s="36">
        <v>380.603</v>
      </c>
      <c r="I550" s="34">
        <f>H550*0.373241712*(23.875/24)</f>
        <v>141.31703554508425</v>
      </c>
      <c r="J550" s="34"/>
      <c r="K550" s="34">
        <f>I550+J550</f>
        <v>141.31703554508425</v>
      </c>
      <c r="L550" s="34">
        <f>96.9571529340017*K550</f>
        <v>13701.697427524488</v>
      </c>
      <c r="M550" s="34">
        <f>F550+L550</f>
        <v>122567.21573410252</v>
      </c>
      <c r="O550" s="4">
        <f>F550/M550</f>
        <v>0.8882107475032396</v>
      </c>
      <c r="P550" s="4">
        <f>L550/M550</f>
        <v>0.11178925249676039</v>
      </c>
    </row>
    <row r="551" spans="1:16" ht="12.75">
      <c r="A551" s="45">
        <v>1574</v>
      </c>
      <c r="B551" s="20"/>
      <c r="C551" s="34">
        <v>10450.64</v>
      </c>
      <c r="E551" s="34">
        <f>C551+D551</f>
        <v>10450.64</v>
      </c>
      <c r="F551" s="34">
        <f>8.68938448310545*E551</f>
        <v>90809.62905452112</v>
      </c>
      <c r="H551" s="36">
        <v>292.55</v>
      </c>
      <c r="I551" s="34">
        <f>H551*0.373241712*(23.875/24)</f>
        <v>108.6231552266125</v>
      </c>
      <c r="J551" s="34"/>
      <c r="K551" s="34">
        <f>I551+J551</f>
        <v>108.6231552266125</v>
      </c>
      <c r="L551" s="34">
        <f>96.9571529340017*K551</f>
        <v>10531.791873480473</v>
      </c>
      <c r="M551" s="34">
        <f>F551+L551</f>
        <v>101341.4209280016</v>
      </c>
      <c r="O551" s="4">
        <f>F551/M551</f>
        <v>0.8960761377032317</v>
      </c>
      <c r="P551" s="4">
        <f>L551/M551</f>
        <v>0.10392386229676832</v>
      </c>
    </row>
    <row r="552" spans="1:16" ht="12.75">
      <c r="A552" s="45">
        <v>1575</v>
      </c>
      <c r="B552" s="20"/>
      <c r="C552" s="34">
        <v>6123.017</v>
      </c>
      <c r="E552" s="34">
        <f>C552+D552</f>
        <v>6123.017</v>
      </c>
      <c r="F552" s="34">
        <f>8.68938448310545*E552</f>
        <v>53205.248909590875</v>
      </c>
      <c r="H552" s="36">
        <v>97.854</v>
      </c>
      <c r="I552" s="34">
        <f>H552*0.373241712*(23.875/24)</f>
        <v>36.332969514766496</v>
      </c>
      <c r="J552" s="34"/>
      <c r="K552" s="34">
        <f>I552+J552</f>
        <v>36.332969514766496</v>
      </c>
      <c r="L552" s="34">
        <f>96.9571529340017*K552</f>
        <v>3522.7412817896366</v>
      </c>
      <c r="M552" s="34">
        <f>F552+L552</f>
        <v>56727.99019138051</v>
      </c>
      <c r="O552" s="4">
        <f>F552/M552</f>
        <v>0.9379011794723358</v>
      </c>
      <c r="P552" s="4">
        <f>L552/M552</f>
        <v>0.06209882052766426</v>
      </c>
    </row>
    <row r="553" spans="1:16" ht="12.75">
      <c r="A553" s="45"/>
      <c r="B553" s="20"/>
      <c r="C553" s="36"/>
      <c r="E553" s="36"/>
      <c r="F553" s="36"/>
      <c r="H553" s="36"/>
      <c r="I553" s="36"/>
      <c r="J553" s="36"/>
      <c r="K553" s="36"/>
      <c r="L553" s="36"/>
      <c r="M553" s="36"/>
      <c r="O553" s="8"/>
      <c r="P553" s="8"/>
    </row>
    <row r="554" spans="1:16" ht="12.75">
      <c r="A554" s="45" t="s">
        <v>139</v>
      </c>
      <c r="B554" s="20"/>
      <c r="C554" s="36">
        <f>SUM(C548:C553)/5</f>
        <v>8806.1662</v>
      </c>
      <c r="E554" s="36">
        <f>SUM(E548:E553)/5</f>
        <v>8806.1662</v>
      </c>
      <c r="F554" s="36">
        <f>SUM(F548:F553)/5</f>
        <v>76520.16393392769</v>
      </c>
      <c r="H554" s="36"/>
      <c r="I554" s="36">
        <f>SUM(I548:I553)/5</f>
        <v>102.63319943361721</v>
      </c>
      <c r="J554" s="36"/>
      <c r="K554" s="36">
        <f>SUM(K548:K553)/5</f>
        <v>102.63319943361721</v>
      </c>
      <c r="L554" s="36">
        <f>SUM(L548:L553)/5</f>
        <v>9934.572303302484</v>
      </c>
      <c r="M554" s="36">
        <f>SUM(M548:M553)/5</f>
        <v>86454.73623723016</v>
      </c>
      <c r="O554" s="4">
        <f>F554/M554</f>
        <v>0.8850893226249377</v>
      </c>
      <c r="P554" s="4">
        <f>L554/M554</f>
        <v>0.11491067737506255</v>
      </c>
    </row>
    <row r="555" spans="1:16" ht="12.75">
      <c r="A555" s="45"/>
      <c r="B555" s="20"/>
      <c r="C555" s="36"/>
      <c r="E555" s="36"/>
      <c r="F555" s="36"/>
      <c r="H555" s="36"/>
      <c r="I555" s="36"/>
      <c r="J555" s="36"/>
      <c r="K555" s="36"/>
      <c r="L555" s="36"/>
      <c r="M555" s="36"/>
      <c r="O555" s="8"/>
      <c r="P555" s="8"/>
    </row>
    <row r="556" spans="1:16" ht="12.75">
      <c r="A556" s="45">
        <v>1576</v>
      </c>
      <c r="B556" s="20"/>
      <c r="C556" s="34">
        <v>6123.017</v>
      </c>
      <c r="E556" s="34">
        <f>C556+D556</f>
        <v>6123.017</v>
      </c>
      <c r="F556" s="34">
        <f>8.68938448310545*E556</f>
        <v>53205.248909590875</v>
      </c>
      <c r="H556" s="36">
        <v>97.854</v>
      </c>
      <c r="I556" s="34">
        <f>H556*0.373241712*(23.875/24)</f>
        <v>36.332969514766496</v>
      </c>
      <c r="J556" s="34"/>
      <c r="K556" s="34">
        <f>I556+J556</f>
        <v>36.332969514766496</v>
      </c>
      <c r="L556" s="34">
        <f>96.9571529340017*K556</f>
        <v>3522.7412817896366</v>
      </c>
      <c r="M556" s="34">
        <f>F556+L556</f>
        <v>56727.99019138051</v>
      </c>
      <c r="O556" s="4">
        <f>F556/M556</f>
        <v>0.9379011794723358</v>
      </c>
      <c r="P556" s="4">
        <f>L556/M556</f>
        <v>0.06209882052766426</v>
      </c>
    </row>
    <row r="557" spans="1:16" ht="12.75">
      <c r="A557" s="45">
        <v>1577</v>
      </c>
      <c r="B557" s="20"/>
      <c r="C557" s="34">
        <v>6123.017</v>
      </c>
      <c r="E557" s="34">
        <f>C557+D557</f>
        <v>6123.017</v>
      </c>
      <c r="F557" s="34">
        <f>8.68938448310545*E557</f>
        <v>53205.248909590875</v>
      </c>
      <c r="H557" s="36">
        <v>97.854</v>
      </c>
      <c r="I557" s="34">
        <f>H557*0.373241712*(23.875/24)</f>
        <v>36.332969514766496</v>
      </c>
      <c r="J557" s="34"/>
      <c r="K557" s="34">
        <f>I557+J557</f>
        <v>36.332969514766496</v>
      </c>
      <c r="L557" s="34">
        <f>96.9571529340017*K557</f>
        <v>3522.7412817896366</v>
      </c>
      <c r="M557" s="34">
        <f>F557+L557</f>
        <v>56727.99019138051</v>
      </c>
      <c r="O557" s="4">
        <f>F557/M557</f>
        <v>0.9379011794723358</v>
      </c>
      <c r="P557" s="4">
        <f>L557/M557</f>
        <v>0.06209882052766426</v>
      </c>
    </row>
    <row r="558" spans="1:16" ht="12.75">
      <c r="A558" s="45">
        <v>1578</v>
      </c>
      <c r="B558" s="20"/>
      <c r="C558" s="34">
        <v>4814.534</v>
      </c>
      <c r="E558" s="34">
        <f>C558+D558</f>
        <v>4814.534</v>
      </c>
      <c r="F558" s="34">
        <f>8.68938448310545*E558</f>
        <v>41835.33703298361</v>
      </c>
      <c r="H558" s="36">
        <v>76.942</v>
      </c>
      <c r="I558" s="34">
        <f>H558*0.373241712*(23.875/24)</f>
        <v>28.568391076554498</v>
      </c>
      <c r="J558" s="34"/>
      <c r="K558" s="34">
        <f>I558+J558</f>
        <v>28.568391076554498</v>
      </c>
      <c r="L558" s="34">
        <f>96.9571529340017*K558</f>
        <v>2769.909862687864</v>
      </c>
      <c r="M558" s="34">
        <f>F558+L558</f>
        <v>44605.24689567147</v>
      </c>
      <c r="O558" s="4">
        <f>F558/M558</f>
        <v>0.9379017031524007</v>
      </c>
      <c r="P558" s="4">
        <f>L558/M558</f>
        <v>0.062098296847599294</v>
      </c>
    </row>
    <row r="559" spans="1:16" ht="12.75">
      <c r="A559" s="45">
        <v>1579</v>
      </c>
      <c r="B559" s="20"/>
      <c r="C559" s="34">
        <v>12172.249</v>
      </c>
      <c r="E559" s="34">
        <f>C559+D559</f>
        <v>12172.249</v>
      </c>
      <c r="F559" s="34">
        <f>8.76507256061666*E559</f>
        <v>106690.64571089359</v>
      </c>
      <c r="H559" s="36">
        <v>343.781</v>
      </c>
      <c r="I559" s="34">
        <f>H559*0.373241712*(23.8125/24)</f>
        <v>127.31096048531364</v>
      </c>
      <c r="J559" s="34"/>
      <c r="K559" s="34">
        <f>I559+J559</f>
        <v>127.31096048531364</v>
      </c>
      <c r="L559" s="34">
        <f>97.4647889463284*K559</f>
        <v>12408.335894255448</v>
      </c>
      <c r="M559" s="34">
        <f>F559+L559</f>
        <v>119098.98160514903</v>
      </c>
      <c r="O559" s="4">
        <f>F559/M559</f>
        <v>0.8958149286667033</v>
      </c>
      <c r="P559" s="4">
        <f>L559/M559</f>
        <v>0.10418507133329674</v>
      </c>
    </row>
    <row r="560" spans="1:16" ht="12.75">
      <c r="A560" s="45">
        <v>1580</v>
      </c>
      <c r="B560" s="20"/>
      <c r="C560" s="34">
        <v>11124.858</v>
      </c>
      <c r="E560" s="34">
        <f>C560+D560</f>
        <v>11124.858</v>
      </c>
      <c r="F560" s="34">
        <f>8.76507256061666*E560</f>
        <v>97510.18759655675</v>
      </c>
      <c r="H560" s="36">
        <v>411.634</v>
      </c>
      <c r="I560" s="34">
        <f>H560*0.373241712*(23.8125/24)</f>
        <v>152.43867435492825</v>
      </c>
      <c r="J560" s="34"/>
      <c r="K560" s="34">
        <f>I560+J560</f>
        <v>152.43867435492825</v>
      </c>
      <c r="L560" s="34">
        <f>97.4647889463284*K560</f>
        <v>14857.403223261166</v>
      </c>
      <c r="M560" s="34">
        <f>F560+L560</f>
        <v>112367.59081981791</v>
      </c>
      <c r="O560" s="4">
        <f>F560/M560</f>
        <v>0.8677785728530472</v>
      </c>
      <c r="P560" s="4">
        <f>L560/M560</f>
        <v>0.1322214271469529</v>
      </c>
    </row>
    <row r="561" spans="1:16" ht="12.75">
      <c r="A561" s="45"/>
      <c r="B561" s="20"/>
      <c r="C561" s="36"/>
      <c r="E561" s="36"/>
      <c r="F561" s="36"/>
      <c r="H561" s="36"/>
      <c r="I561" s="36"/>
      <c r="J561" s="36"/>
      <c r="K561" s="36"/>
      <c r="L561" s="36"/>
      <c r="M561" s="36"/>
      <c r="O561" s="8"/>
      <c r="P561" s="8"/>
    </row>
    <row r="562" spans="1:16" ht="12.75">
      <c r="A562" s="45" t="s">
        <v>141</v>
      </c>
      <c r="B562" s="20"/>
      <c r="C562" s="36">
        <f>SUM(C556:C561)/5</f>
        <v>8071.535000000001</v>
      </c>
      <c r="E562" s="36">
        <f>SUM(E556:E561)/5</f>
        <v>8071.535000000001</v>
      </c>
      <c r="F562" s="36">
        <f>SUM(F556:F561)/5</f>
        <v>70489.33363192315</v>
      </c>
      <c r="H562" s="36"/>
      <c r="I562" s="36">
        <f>SUM(I556:I561)/5</f>
        <v>76.19679298926587</v>
      </c>
      <c r="J562" s="36"/>
      <c r="K562" s="36">
        <f>SUM(K556:K561)/5</f>
        <v>76.19679298926587</v>
      </c>
      <c r="L562" s="36">
        <f>SUM(L556:L561)/5</f>
        <v>7416.22630875675</v>
      </c>
      <c r="M562" s="36">
        <f>SUM(M556:M561)/5</f>
        <v>77905.55994067989</v>
      </c>
      <c r="O562" s="4">
        <f>F562/M562</f>
        <v>0.9048049161779502</v>
      </c>
      <c r="P562" s="4">
        <f>L562/M562</f>
        <v>0.09519508382204984</v>
      </c>
    </row>
    <row r="563" spans="1:16" ht="12.75">
      <c r="A563" s="45"/>
      <c r="B563" s="20"/>
      <c r="C563" s="36"/>
      <c r="E563" s="36"/>
      <c r="F563" s="36"/>
      <c r="H563" s="36"/>
      <c r="I563" s="36"/>
      <c r="J563" s="36"/>
      <c r="K563" s="36"/>
      <c r="L563" s="36"/>
      <c r="M563" s="36"/>
      <c r="O563" s="8"/>
      <c r="P563" s="8"/>
    </row>
    <row r="564" spans="1:16" ht="12.75">
      <c r="A564" s="45">
        <v>1581</v>
      </c>
      <c r="B564" s="20"/>
      <c r="C564" s="34">
        <v>10320.323</v>
      </c>
      <c r="E564" s="34">
        <f>C564+D564</f>
        <v>10320.323</v>
      </c>
      <c r="F564" s="34">
        <f>8.76507256061666*E564</f>
        <v>90458.37994400102</v>
      </c>
      <c r="H564" s="36">
        <v>585.389</v>
      </c>
      <c r="I564" s="34">
        <f>H564*0.373241712*(23.8125/24)</f>
        <v>216.78462697920264</v>
      </c>
      <c r="J564" s="34"/>
      <c r="K564" s="34">
        <f>I564+J564</f>
        <v>216.78462697920264</v>
      </c>
      <c r="L564" s="34">
        <f>97.4647889463284*K564</f>
        <v>21128.867915336516</v>
      </c>
      <c r="M564" s="34">
        <f>F564+L564</f>
        <v>111587.24785933754</v>
      </c>
      <c r="O564" s="4">
        <f>F564/M564</f>
        <v>0.8106515903862892</v>
      </c>
      <c r="P564" s="4">
        <f>L564/M564</f>
        <v>0.18934840961371077</v>
      </c>
    </row>
    <row r="565" spans="1:16" ht="12.75">
      <c r="A565" s="45">
        <v>1582</v>
      </c>
      <c r="B565" s="20"/>
      <c r="C565" s="34">
        <v>4701.746</v>
      </c>
      <c r="E565" s="34">
        <f>C565+D565</f>
        <v>4701.746</v>
      </c>
      <c r="F565" s="34">
        <f>8.76507256061666*E565</f>
        <v>41211.14485158914</v>
      </c>
      <c r="H565" s="36">
        <v>376.438</v>
      </c>
      <c r="I565" s="34">
        <f>H565*0.373241712*(23.8125/24)</f>
        <v>139.40468886637277</v>
      </c>
      <c r="J565" s="34"/>
      <c r="K565" s="34">
        <f>I565+J565</f>
        <v>139.40468886637277</v>
      </c>
      <c r="L565" s="34">
        <f>97.4647889463284*K565</f>
        <v>13587.048578489597</v>
      </c>
      <c r="M565" s="34">
        <f>F565+L565</f>
        <v>54798.19343007874</v>
      </c>
      <c r="O565" s="4">
        <f>F565/M565</f>
        <v>0.7520529833556215</v>
      </c>
      <c r="P565" s="4">
        <f>L565/M565</f>
        <v>0.24794701664437835</v>
      </c>
    </row>
    <row r="566" spans="1:16" ht="12.75">
      <c r="A566" s="45">
        <v>1583</v>
      </c>
      <c r="B566" s="20"/>
      <c r="C566" s="34">
        <v>21267.317</v>
      </c>
      <c r="E566" s="34">
        <f>C566+D566</f>
        <v>21267.317</v>
      </c>
      <c r="F566" s="34">
        <v>185325.67</v>
      </c>
      <c r="H566" s="34">
        <v>1531.513</v>
      </c>
      <c r="I566" s="34">
        <v>567.8650426968594</v>
      </c>
      <c r="J566" s="39"/>
      <c r="K566" s="34">
        <f>I566+J566</f>
        <v>567.8650426968594</v>
      </c>
      <c r="L566" s="34">
        <v>55205.878875</v>
      </c>
      <c r="M566" s="34">
        <f>F566+L566</f>
        <v>240531.548875</v>
      </c>
      <c r="O566" s="4">
        <f>F566/M566</f>
        <v>0.7704838341032364</v>
      </c>
      <c r="P566" s="4">
        <f>L566/M566</f>
        <v>0.2295161658967636</v>
      </c>
    </row>
    <row r="567" spans="1:16" ht="12.75">
      <c r="A567" s="45">
        <v>1584</v>
      </c>
      <c r="B567" s="20"/>
      <c r="C567" s="34">
        <v>23265.339</v>
      </c>
      <c r="E567" s="34">
        <f>C567+D567</f>
        <v>23265.339</v>
      </c>
      <c r="F567" s="34">
        <f>8.68938448310545*E567</f>
        <v>202161.47570078805</v>
      </c>
      <c r="H567" s="36">
        <v>1085.019</v>
      </c>
      <c r="I567" s="34">
        <f>H567*0.373241712*(23.875/24)</f>
        <v>402.86510771090025</v>
      </c>
      <c r="J567" s="34"/>
      <c r="K567" s="34">
        <f>I567+J567</f>
        <v>402.86510771090025</v>
      </c>
      <c r="L567" s="34">
        <f>96.9571529340017*K567</f>
        <v>39060.65386009882</v>
      </c>
      <c r="M567" s="34">
        <f>F567+L567</f>
        <v>241222.12956088688</v>
      </c>
      <c r="O567" s="4">
        <f>F567/M567</f>
        <v>0.838071847175864</v>
      </c>
      <c r="P567" s="4">
        <f>L567/M567</f>
        <v>0.16192815282413597</v>
      </c>
    </row>
    <row r="568" spans="1:16" ht="12.75">
      <c r="A568" s="45">
        <v>1585</v>
      </c>
      <c r="B568" s="20"/>
      <c r="C568" s="34">
        <v>20726.845</v>
      </c>
      <c r="E568" s="34">
        <f>C568+D568</f>
        <v>20726.845</v>
      </c>
      <c r="F568" s="34">
        <f>8.68938448310545*E568</f>
        <v>180103.5253267318</v>
      </c>
      <c r="H568" s="36">
        <v>968.682</v>
      </c>
      <c r="I568" s="34">
        <f>H568*0.373241712*(23.875/24)</f>
        <v>359.6694419799195</v>
      </c>
      <c r="J568" s="34"/>
      <c r="K568" s="34">
        <f>I568+J568</f>
        <v>359.6694419799195</v>
      </c>
      <c r="L568" s="34">
        <f>96.9571529340017*K568</f>
        <v>34872.5250917341</v>
      </c>
      <c r="M568" s="34">
        <f>F568+L568</f>
        <v>214976.0504184659</v>
      </c>
      <c r="O568" s="4">
        <f>F568/M568</f>
        <v>0.8377841390989726</v>
      </c>
      <c r="P568" s="4">
        <f>L568/M568</f>
        <v>0.16221586090102735</v>
      </c>
    </row>
    <row r="569" spans="1:16" ht="12.75">
      <c r="A569" s="45"/>
      <c r="B569" s="20"/>
      <c r="C569" s="36"/>
      <c r="E569" s="36"/>
      <c r="F569" s="36"/>
      <c r="H569" s="36"/>
      <c r="I569" s="36"/>
      <c r="J569" s="36"/>
      <c r="K569" s="36"/>
      <c r="L569" s="36"/>
      <c r="M569" s="36"/>
      <c r="O569" s="8"/>
      <c r="P569" s="8"/>
    </row>
    <row r="570" spans="1:16" ht="12.75">
      <c r="A570" s="45" t="s">
        <v>145</v>
      </c>
      <c r="B570" s="20"/>
      <c r="C570" s="36">
        <f>SUM(C564:C569)/5</f>
        <v>16056.314000000002</v>
      </c>
      <c r="E570" s="36">
        <f>SUM(E564:E569)/5</f>
        <v>16056.314000000002</v>
      </c>
      <c r="F570" s="36">
        <f>SUM(F564:F569)/5</f>
        <v>139852.039164622</v>
      </c>
      <c r="H570" s="36"/>
      <c r="I570" s="36">
        <f>SUM(I564:I569)/5</f>
        <v>337.31778164665093</v>
      </c>
      <c r="J570" s="36"/>
      <c r="K570" s="36">
        <f>SUM(K564:K569)/5</f>
        <v>337.31778164665093</v>
      </c>
      <c r="L570" s="36">
        <f>SUM(L564:L569)/5</f>
        <v>32770.994864131804</v>
      </c>
      <c r="M570" s="36">
        <f>SUM(M564:M569)/5</f>
        <v>172623.0340287538</v>
      </c>
      <c r="O570" s="4">
        <f>F570/M570</f>
        <v>0.810158620785954</v>
      </c>
      <c r="P570" s="4">
        <f>L570/M570</f>
        <v>0.18984137921404592</v>
      </c>
    </row>
    <row r="571" spans="1:16" ht="12.75">
      <c r="A571" s="45"/>
      <c r="B571" s="20"/>
      <c r="C571" s="36"/>
      <c r="E571" s="36"/>
      <c r="F571" s="36"/>
      <c r="H571" s="36"/>
      <c r="I571" s="36"/>
      <c r="J571" s="36"/>
      <c r="K571" s="36"/>
      <c r="L571" s="36"/>
      <c r="M571" s="36"/>
      <c r="O571" s="8"/>
      <c r="P571" s="8"/>
    </row>
    <row r="572" spans="1:16" ht="12.75">
      <c r="A572" s="45">
        <v>1586</v>
      </c>
      <c r="B572" s="20"/>
      <c r="C572" s="34">
        <v>11085.608</v>
      </c>
      <c r="E572" s="34">
        <f>C572+D572</f>
        <v>11085.608</v>
      </c>
      <c r="F572" s="34">
        <f>8.68938448310545*E572</f>
        <v>96327.11014098964</v>
      </c>
      <c r="H572" s="36">
        <v>691.114</v>
      </c>
      <c r="I572" s="34">
        <f>H572*0.373241712*(23.875/24)</f>
        <v>256.6090695651515</v>
      </c>
      <c r="J572" s="34"/>
      <c r="K572" s="34">
        <f>I572+J572</f>
        <v>256.6090695651515</v>
      </c>
      <c r="L572" s="34">
        <f>96.9571529340017*K572</f>
        <v>24880.084802080277</v>
      </c>
      <c r="M572" s="34">
        <f>F572+L572</f>
        <v>121207.19494306992</v>
      </c>
      <c r="O572" s="4">
        <f>F572/M572</f>
        <v>0.7947309578959709</v>
      </c>
      <c r="P572" s="4">
        <f>L572/M572</f>
        <v>0.20526904210402905</v>
      </c>
    </row>
    <row r="573" spans="1:16" ht="12.75">
      <c r="A573" s="45">
        <v>1587</v>
      </c>
      <c r="B573" s="20"/>
      <c r="C573" s="34">
        <v>5782.155</v>
      </c>
      <c r="E573" s="34">
        <f>C573+D573</f>
        <v>5782.155</v>
      </c>
      <c r="F573" s="34">
        <f>8.68938448310545*E573</f>
        <v>50243.36793591059</v>
      </c>
      <c r="H573" s="36">
        <v>337.689</v>
      </c>
      <c r="I573" s="34">
        <f>H573*0.373241712*(23.875/24)</f>
        <v>125.38316412688276</v>
      </c>
      <c r="J573" s="34"/>
      <c r="K573" s="34">
        <f>I573+J573</f>
        <v>125.38316412688276</v>
      </c>
      <c r="L573" s="34">
        <f>96.9571529340017*K573</f>
        <v>12156.794619599208</v>
      </c>
      <c r="M573" s="34">
        <f>F573+L573</f>
        <v>62400.1625555098</v>
      </c>
      <c r="O573" s="4">
        <f>F573/M573</f>
        <v>0.805180080920706</v>
      </c>
      <c r="P573" s="4">
        <f>L573/M573</f>
        <v>0.19481991907929397</v>
      </c>
    </row>
    <row r="574" spans="1:16" ht="12.75">
      <c r="A574" s="45">
        <v>1588</v>
      </c>
      <c r="B574" s="20"/>
      <c r="C574" s="34">
        <v>4373.301</v>
      </c>
      <c r="E574" s="34">
        <f>C574+D574</f>
        <v>4373.301</v>
      </c>
      <c r="F574" s="34">
        <f>8.68938448310545*E574</f>
        <v>38001.293849349546</v>
      </c>
      <c r="H574" s="36">
        <v>532.405</v>
      </c>
      <c r="I574" s="34">
        <f>H574*0.373241712*(23.875/24)</f>
        <v>197.68077579362375</v>
      </c>
      <c r="J574" s="34"/>
      <c r="K574" s="34">
        <f>I574+J574</f>
        <v>197.68077579362375</v>
      </c>
      <c r="L574" s="34">
        <f>96.9571529340017*K574</f>
        <v>19166.56521073448</v>
      </c>
      <c r="M574" s="34">
        <f>F574+L574</f>
        <v>57167.859060084025</v>
      </c>
      <c r="O574" s="4">
        <f>F574/M574</f>
        <v>0.6647317998984321</v>
      </c>
      <c r="P574" s="4">
        <f>L574/M574</f>
        <v>0.3352682001015678</v>
      </c>
    </row>
    <row r="575" spans="1:16" ht="12.75">
      <c r="A575" s="45">
        <v>1589</v>
      </c>
      <c r="B575" s="20"/>
      <c r="C575" s="34">
        <v>4445.923</v>
      </c>
      <c r="E575" s="34">
        <f>C575+D575</f>
        <v>4445.923</v>
      </c>
      <c r="F575" s="34">
        <f>8.68938448310545*E575</f>
        <v>38632.33432928163</v>
      </c>
      <c r="H575" s="36">
        <v>542.738</v>
      </c>
      <c r="I575" s="34">
        <f>H575*0.373241712*(23.875/24)</f>
        <v>201.5173953901255</v>
      </c>
      <c r="J575" s="34"/>
      <c r="K575" s="34">
        <f>I575+J575</f>
        <v>201.5173953901255</v>
      </c>
      <c r="L575" s="34">
        <f>96.9571529340017*K575</f>
        <v>19538.552923702086</v>
      </c>
      <c r="M575" s="34">
        <f>F575+L575</f>
        <v>58170.88725298371</v>
      </c>
      <c r="O575" s="4">
        <f>F575/M575</f>
        <v>0.6641180176824635</v>
      </c>
      <c r="P575" s="4">
        <f>L575/M575</f>
        <v>0.3358819823175365</v>
      </c>
    </row>
    <row r="576" spans="1:16" ht="12.75">
      <c r="A576" s="45">
        <v>1590</v>
      </c>
      <c r="B576" s="20"/>
      <c r="C576" s="34">
        <v>6339.76</v>
      </c>
      <c r="E576" s="34">
        <f>C576+D576</f>
        <v>6339.76</v>
      </c>
      <c r="F576" s="34">
        <f>8.68938448310545*E576</f>
        <v>55088.61217061261</v>
      </c>
      <c r="H576" s="36">
        <v>390.088</v>
      </c>
      <c r="I576" s="34">
        <f>H576*0.373241712*(23.875/24)</f>
        <v>144.838794654038</v>
      </c>
      <c r="J576" s="34"/>
      <c r="K576" s="34">
        <f>I576+J576</f>
        <v>144.838794654038</v>
      </c>
      <c r="L576" s="34">
        <f>96.9571529340017*K576</f>
        <v>14043.157164048029</v>
      </c>
      <c r="M576" s="34">
        <f>F576+L576</f>
        <v>69131.76933466064</v>
      </c>
      <c r="O576" s="4">
        <f>F576/M576</f>
        <v>0.7968639122186157</v>
      </c>
      <c r="P576" s="4">
        <f>L576/M576</f>
        <v>0.2031360877813842</v>
      </c>
    </row>
    <row r="577" spans="1:16" ht="12.75">
      <c r="A577" s="45"/>
      <c r="B577" s="20"/>
      <c r="C577" s="36"/>
      <c r="E577" s="36"/>
      <c r="F577" s="36"/>
      <c r="H577" s="36"/>
      <c r="I577" s="36"/>
      <c r="J577" s="36"/>
      <c r="K577" s="36"/>
      <c r="L577" s="36"/>
      <c r="M577" s="36"/>
      <c r="O577" s="8"/>
      <c r="P577" s="8"/>
    </row>
    <row r="578" spans="1:16" ht="12.75">
      <c r="A578" s="45" t="s">
        <v>147</v>
      </c>
      <c r="B578" s="20"/>
      <c r="C578" s="36">
        <f>SUM(C572:C577)/5</f>
        <v>6405.349399999999</v>
      </c>
      <c r="E578" s="36">
        <f>SUM(E572:E577)/5</f>
        <v>6405.349399999999</v>
      </c>
      <c r="F578" s="36">
        <f>SUM(F572:F577)/5</f>
        <v>55658.54368522881</v>
      </c>
      <c r="H578" s="36"/>
      <c r="I578" s="36">
        <f>SUM(I572:I577)/5</f>
        <v>185.2058399059643</v>
      </c>
      <c r="J578" s="36"/>
      <c r="K578" s="36">
        <f>SUM(K572:K577)/5</f>
        <v>185.2058399059643</v>
      </c>
      <c r="L578" s="36">
        <f>SUM(L572:L577)/5</f>
        <v>17957.030944032816</v>
      </c>
      <c r="M578" s="36">
        <f>SUM(M572:M577)/5</f>
        <v>73615.57462926162</v>
      </c>
      <c r="O578" s="4">
        <f>F578/M578</f>
        <v>0.7560702197263698</v>
      </c>
      <c r="P578" s="4">
        <f>L578/M578</f>
        <v>0.24392978027363024</v>
      </c>
    </row>
    <row r="579" spans="1:16" ht="12.75">
      <c r="A579" s="45"/>
      <c r="B579" s="20"/>
      <c r="C579" s="36"/>
      <c r="E579" s="36"/>
      <c r="F579" s="36"/>
      <c r="H579" s="36"/>
      <c r="I579" s="36"/>
      <c r="J579" s="36"/>
      <c r="K579" s="36"/>
      <c r="L579" s="36"/>
      <c r="M579" s="36"/>
      <c r="O579" s="8"/>
      <c r="P579" s="8"/>
    </row>
    <row r="580" spans="1:16" ht="12.75">
      <c r="A580" s="45">
        <v>1591</v>
      </c>
      <c r="B580" s="20"/>
      <c r="C580" s="34">
        <v>10150.551</v>
      </c>
      <c r="E580" s="34">
        <f>C580+D580</f>
        <v>10150.551</v>
      </c>
      <c r="F580" s="34">
        <f>8.68938448310545*E580</f>
        <v>88202.0403543705</v>
      </c>
      <c r="H580" s="36">
        <v>635.246</v>
      </c>
      <c r="I580" s="34">
        <f>H580*0.373241712*(23.875/24)</f>
        <v>235.86540716145848</v>
      </c>
      <c r="J580" s="34"/>
      <c r="K580" s="34">
        <f>I580+J580</f>
        <v>235.86540716145848</v>
      </c>
      <c r="L580" s="34">
        <f>96.9571529340017*K580</f>
        <v>22868.83835399411</v>
      </c>
      <c r="M580" s="34">
        <f>F580+L580</f>
        <v>111070.87870836462</v>
      </c>
      <c r="O580" s="4">
        <f>F580/M580</f>
        <v>0.7941059022856917</v>
      </c>
      <c r="P580" s="4">
        <f>L580/M580</f>
        <v>0.2058940977143083</v>
      </c>
    </row>
    <row r="581" spans="1:16" ht="12.75">
      <c r="A581" s="45">
        <v>1592</v>
      </c>
      <c r="B581" s="20"/>
      <c r="C581" s="34">
        <v>18243.882</v>
      </c>
      <c r="E581" s="34">
        <f>C581+D581</f>
        <v>18243.882</v>
      </c>
      <c r="F581" s="34">
        <f>8.68938448310545*E581</f>
        <v>158528.10516240684</v>
      </c>
      <c r="H581" s="36">
        <v>536.545</v>
      </c>
      <c r="I581" s="34">
        <f>H581*0.373241712*(23.875/24)</f>
        <v>199.21794845688873</v>
      </c>
      <c r="J581" s="34"/>
      <c r="K581" s="34">
        <f>I581+J581</f>
        <v>199.21794845688873</v>
      </c>
      <c r="L581" s="34">
        <f>96.9571529340017*K581</f>
        <v>19315.60509573263</v>
      </c>
      <c r="M581" s="34">
        <f>F581+L581</f>
        <v>177843.71025813947</v>
      </c>
      <c r="O581" s="4">
        <f>F581/M581</f>
        <v>0.8913900015485726</v>
      </c>
      <c r="P581" s="4">
        <f>L581/M581</f>
        <v>0.1086099984514274</v>
      </c>
    </row>
    <row r="582" spans="1:16" ht="12.75">
      <c r="A582" s="45">
        <v>1593</v>
      </c>
      <c r="B582" s="20"/>
      <c r="C582" s="34">
        <v>21624.115</v>
      </c>
      <c r="E582" s="34">
        <f>C582+D582</f>
        <v>21624.115</v>
      </c>
      <c r="F582" s="34">
        <f>8.68938448310545*E582</f>
        <v>187900.2493418878</v>
      </c>
      <c r="H582" s="36">
        <v>410.639</v>
      </c>
      <c r="I582" s="34">
        <f>H582*0.373241712*(23.875/24)</f>
        <v>152.46933460639525</v>
      </c>
      <c r="J582" s="34"/>
      <c r="K582" s="34">
        <f>I582+J582</f>
        <v>152.46933460639525</v>
      </c>
      <c r="L582" s="34">
        <f>96.9571529340017*K582</f>
        <v>14782.992593177742</v>
      </c>
      <c r="M582" s="34">
        <f>F582+L582</f>
        <v>202683.24193506554</v>
      </c>
      <c r="O582" s="4">
        <f>F582/M582</f>
        <v>0.9270635675054288</v>
      </c>
      <c r="P582" s="4">
        <f>L582/M582</f>
        <v>0.07293643249457116</v>
      </c>
    </row>
    <row r="583" spans="1:16" ht="12.75">
      <c r="A583" s="45">
        <v>1594</v>
      </c>
      <c r="B583" s="20"/>
      <c r="C583" s="34">
        <v>21624.15</v>
      </c>
      <c r="E583" s="34">
        <f>C583+D583</f>
        <v>21624.15</v>
      </c>
      <c r="F583" s="34">
        <f>8.68938448310545*E583</f>
        <v>187900.55347034472</v>
      </c>
      <c r="H583" s="36">
        <v>410.639</v>
      </c>
      <c r="I583" s="34">
        <f>H583*0.373241712*(23.875/24)</f>
        <v>152.46933460639525</v>
      </c>
      <c r="J583" s="34"/>
      <c r="K583" s="34">
        <f>I583+J583</f>
        <v>152.46933460639525</v>
      </c>
      <c r="L583" s="34">
        <f>96.9571529340017*K583</f>
        <v>14782.992593177742</v>
      </c>
      <c r="M583" s="34">
        <f>F583+L583</f>
        <v>202683.54606352246</v>
      </c>
      <c r="O583" s="4">
        <f>F583/M583</f>
        <v>0.9270636769471922</v>
      </c>
      <c r="P583" s="4">
        <f>L583/M583</f>
        <v>0.07293632305280788</v>
      </c>
    </row>
    <row r="584" spans="1:16" ht="12.75">
      <c r="A584" s="45">
        <v>1595</v>
      </c>
      <c r="B584" s="20"/>
      <c r="C584" s="34">
        <v>21624.115</v>
      </c>
      <c r="E584" s="34">
        <f>C584+D584</f>
        <v>21624.115</v>
      </c>
      <c r="F584" s="34">
        <f>8.68938448310545*E584</f>
        <v>187900.2493418878</v>
      </c>
      <c r="H584" s="36">
        <v>410.639</v>
      </c>
      <c r="I584" s="34">
        <f>H584*0.373241712*(23.875/24)</f>
        <v>152.46933460639525</v>
      </c>
      <c r="J584" s="34"/>
      <c r="K584" s="34">
        <f>I584+J584</f>
        <v>152.46933460639525</v>
      </c>
      <c r="L584" s="34">
        <f>96.9571529340017*K584</f>
        <v>14782.992593177742</v>
      </c>
      <c r="M584" s="34">
        <f>F584+L584</f>
        <v>202683.24193506554</v>
      </c>
      <c r="O584" s="4">
        <f>F584/M584</f>
        <v>0.9270635675054288</v>
      </c>
      <c r="P584" s="4">
        <f>L584/M584</f>
        <v>0.07293643249457116</v>
      </c>
    </row>
    <row r="585" spans="1:16" ht="12.75">
      <c r="A585" s="45"/>
      <c r="B585" s="20"/>
      <c r="C585" s="36"/>
      <c r="E585" s="36"/>
      <c r="F585" s="36"/>
      <c r="H585" s="36"/>
      <c r="I585" s="36"/>
      <c r="J585" s="36"/>
      <c r="K585" s="36"/>
      <c r="L585" s="36"/>
      <c r="M585" s="36"/>
      <c r="O585" s="8"/>
      <c r="P585" s="8"/>
    </row>
    <row r="586" spans="1:16" ht="12.75">
      <c r="A586" s="45" t="s">
        <v>149</v>
      </c>
      <c r="B586" s="20"/>
      <c r="C586" s="36">
        <f>SUM(C580:C585)/5</f>
        <v>18653.3626</v>
      </c>
      <c r="E586" s="36">
        <f>SUM(E580:E585)/5</f>
        <v>18653.3626</v>
      </c>
      <c r="F586" s="36">
        <f>SUM(F580:F585)/5</f>
        <v>162086.23953417953</v>
      </c>
      <c r="H586" s="36"/>
      <c r="I586" s="36">
        <f>SUM(I580:I585)/5</f>
        <v>178.4982718875066</v>
      </c>
      <c r="J586" s="36"/>
      <c r="K586" s="36">
        <f>SUM(K580:K585)/5</f>
        <v>178.4982718875066</v>
      </c>
      <c r="L586" s="36">
        <f>SUM(L580:L585)/5</f>
        <v>17306.68424585199</v>
      </c>
      <c r="M586" s="36">
        <f>SUM(M580:M585)/5</f>
        <v>179392.9237800315</v>
      </c>
      <c r="O586" s="4">
        <f>F586/M586</f>
        <v>0.9035263828629432</v>
      </c>
      <c r="P586" s="4">
        <f>L586/M586</f>
        <v>0.0964736171370569</v>
      </c>
    </row>
    <row r="587" spans="1:16" ht="12.75">
      <c r="A587" s="45"/>
      <c r="B587" s="20"/>
      <c r="C587" s="36"/>
      <c r="E587" s="36"/>
      <c r="F587" s="36"/>
      <c r="H587" s="36"/>
      <c r="I587" s="36"/>
      <c r="J587" s="36"/>
      <c r="K587" s="36"/>
      <c r="L587" s="36"/>
      <c r="M587" s="36"/>
      <c r="O587" s="8"/>
      <c r="P587" s="8"/>
    </row>
    <row r="588" spans="1:16" ht="12.75">
      <c r="A588" s="45">
        <v>1596</v>
      </c>
      <c r="B588" s="20"/>
      <c r="C588" s="34">
        <v>21624.115</v>
      </c>
      <c r="E588" s="34">
        <f>C588+D588</f>
        <v>21624.115</v>
      </c>
      <c r="F588" s="34">
        <f>8.68938448310545*E588</f>
        <v>187900.2493418878</v>
      </c>
      <c r="H588" s="36">
        <v>410.639</v>
      </c>
      <c r="I588" s="34">
        <f>H588*0.373241712*(23.875/24)</f>
        <v>152.46933460639525</v>
      </c>
      <c r="J588" s="34"/>
      <c r="K588" s="34">
        <f>I588+J588</f>
        <v>152.46933460639525</v>
      </c>
      <c r="L588" s="34">
        <f>96.9571529340017*K588</f>
        <v>14782.992593177742</v>
      </c>
      <c r="M588" s="34">
        <f>F588+L588</f>
        <v>202683.24193506554</v>
      </c>
      <c r="O588" s="4">
        <f>F588/M588</f>
        <v>0.9270635675054288</v>
      </c>
      <c r="P588" s="4">
        <f>L588/M588</f>
        <v>0.07293643249457116</v>
      </c>
    </row>
    <row r="589" spans="1:16" ht="12.75">
      <c r="A589" s="45">
        <v>1597</v>
      </c>
      <c r="B589" s="20"/>
      <c r="C589" s="34">
        <v>8988.734</v>
      </c>
      <c r="E589" s="34">
        <f>C589+D589</f>
        <v>8988.734</v>
      </c>
      <c r="F589" s="34">
        <f>8.68938448310545*E589</f>
        <v>78106.56574236238</v>
      </c>
      <c r="H589" s="34">
        <v>291.577</v>
      </c>
      <c r="I589" s="34">
        <v>106.65669694226047</v>
      </c>
      <c r="J589" s="39"/>
      <c r="K589" s="34">
        <f>I589+J589</f>
        <v>106.65669694226047</v>
      </c>
      <c r="L589" s="34">
        <v>10332.294</v>
      </c>
      <c r="M589" s="34">
        <f>F589+L589</f>
        <v>88438.85974236237</v>
      </c>
      <c r="O589" s="4">
        <f>F589/M589</f>
        <v>0.8831702033461337</v>
      </c>
      <c r="P589" s="4">
        <f>L589/M589</f>
        <v>0.11682979665386632</v>
      </c>
    </row>
    <row r="590" spans="1:16" ht="12.75">
      <c r="A590" s="45">
        <v>1598</v>
      </c>
      <c r="B590" s="20"/>
      <c r="C590" s="34">
        <v>2487.543</v>
      </c>
      <c r="E590" s="34">
        <f>C590+D590</f>
        <v>2487.543</v>
      </c>
      <c r="F590" s="34">
        <f>8.68938448310545*E590</f>
        <v>21615.21754525758</v>
      </c>
      <c r="H590" s="34">
        <v>230.31799999999998</v>
      </c>
      <c r="I590" s="34">
        <v>83.09125900114684</v>
      </c>
      <c r="J590" s="39"/>
      <c r="K590" s="34">
        <f>I590+J590</f>
        <v>83.09125900114684</v>
      </c>
      <c r="L590" s="34">
        <v>8042.342999999999</v>
      </c>
      <c r="M590" s="34">
        <f>F590+L590</f>
        <v>29657.560545257576</v>
      </c>
      <c r="O590" s="4">
        <f>F590/M590</f>
        <v>0.7288265503925266</v>
      </c>
      <c r="P590" s="4">
        <f>L590/M590</f>
        <v>0.27117344960747347</v>
      </c>
    </row>
    <row r="591" spans="1:16" ht="12.75">
      <c r="A591" s="45">
        <v>1599</v>
      </c>
      <c r="B591" s="20"/>
      <c r="C591" s="34">
        <v>2487.543</v>
      </c>
      <c r="E591" s="34">
        <f>C591+D591</f>
        <v>2487.543</v>
      </c>
      <c r="F591" s="34">
        <f>8.68938448310545*E591</f>
        <v>21615.21754525758</v>
      </c>
      <c r="H591" s="34">
        <v>230.31799999999998</v>
      </c>
      <c r="I591" s="34">
        <v>83.09125900114684</v>
      </c>
      <c r="J591" s="39"/>
      <c r="K591" s="34">
        <f>I591+J591</f>
        <v>83.09125900114684</v>
      </c>
      <c r="L591" s="34">
        <v>8042.342999999999</v>
      </c>
      <c r="M591" s="34">
        <f>F591+L591</f>
        <v>29657.560545257576</v>
      </c>
      <c r="O591" s="4">
        <f>F591/M591</f>
        <v>0.7288265503925266</v>
      </c>
      <c r="P591" s="4">
        <f>L591/M591</f>
        <v>0.27117344960747347</v>
      </c>
    </row>
    <row r="592" spans="1:16" ht="12.75">
      <c r="A592" s="45">
        <v>1600</v>
      </c>
      <c r="B592" s="20"/>
      <c r="C592" s="34">
        <f>3139.34779305*(365/666)</f>
        <v>1720.513430125</v>
      </c>
      <c r="E592" s="34">
        <f>C592+D592</f>
        <v>1720.513430125</v>
      </c>
      <c r="F592" s="34">
        <f>8.68938448310545*E592</f>
        <v>14950.202702702707</v>
      </c>
      <c r="H592" s="36">
        <f>1222.52083333333*(366/667)</f>
        <v>670.828523238379</v>
      </c>
      <c r="I592" s="36">
        <f>424.391908246745*(366/667)</f>
        <v>232.87472026732937</v>
      </c>
      <c r="J592" s="34"/>
      <c r="K592" s="34">
        <f>I592+J592</f>
        <v>232.87472026732937</v>
      </c>
      <c r="L592" s="36">
        <f>40972.875*(366/667)</f>
        <v>22482.866941529235</v>
      </c>
      <c r="M592" s="34">
        <f>F592+L592</f>
        <v>37433.069644231946</v>
      </c>
      <c r="O592" s="4">
        <f>F592/M592</f>
        <v>0.39938489802709465</v>
      </c>
      <c r="P592" s="4">
        <f>L592/M592</f>
        <v>0.6006151019729052</v>
      </c>
    </row>
    <row r="593" spans="1:16" ht="12.75">
      <c r="A593" s="45"/>
      <c r="B593" s="20"/>
      <c r="C593" s="36"/>
      <c r="E593" s="36"/>
      <c r="F593" s="36"/>
      <c r="H593" s="36"/>
      <c r="I593" s="36"/>
      <c r="J593" s="36"/>
      <c r="K593" s="36"/>
      <c r="L593" s="36"/>
      <c r="M593" s="36"/>
      <c r="O593" s="8"/>
      <c r="P593" s="8"/>
    </row>
    <row r="594" spans="1:16" ht="12.75">
      <c r="A594" s="45" t="s">
        <v>151</v>
      </c>
      <c r="B594" s="20"/>
      <c r="C594" s="36">
        <f>SUM(C588:C593)/5</f>
        <v>7461.689686025</v>
      </c>
      <c r="E594" s="36">
        <f>SUM(E588:E593)/5</f>
        <v>7461.689686025</v>
      </c>
      <c r="F594" s="36">
        <f>SUM(F588:F593)/5</f>
        <v>64837.49057549362</v>
      </c>
      <c r="H594" s="36"/>
      <c r="I594" s="36">
        <f>SUM(I588:I593)/5</f>
        <v>131.63665396365576</v>
      </c>
      <c r="J594" s="36"/>
      <c r="K594" s="36">
        <f>SUM(K588:K593)/5</f>
        <v>131.63665396365576</v>
      </c>
      <c r="L594" s="36">
        <f>SUM(L588:L593)/5</f>
        <v>12736.567906941395</v>
      </c>
      <c r="M594" s="36">
        <f>SUM(M588:M593)/5</f>
        <v>77574.058482435</v>
      </c>
      <c r="O594" s="4">
        <f>F594/M594</f>
        <v>0.8358140832630885</v>
      </c>
      <c r="P594" s="4">
        <f>L594/M594</f>
        <v>0.16418591673691174</v>
      </c>
    </row>
    <row r="595" spans="1:16" ht="12.75">
      <c r="A595" s="45"/>
      <c r="B595" s="20"/>
      <c r="C595" s="36"/>
      <c r="E595" s="36"/>
      <c r="F595" s="36"/>
      <c r="H595" s="36"/>
      <c r="I595" s="36"/>
      <c r="J595" s="36"/>
      <c r="K595" s="36"/>
      <c r="L595" s="36"/>
      <c r="M595" s="36"/>
      <c r="O595" s="8"/>
      <c r="P595" s="8"/>
    </row>
    <row r="596" spans="1:16" ht="12.75">
      <c r="A596" s="45">
        <v>1601</v>
      </c>
      <c r="B596" s="20"/>
      <c r="C596" s="34"/>
      <c r="E596" s="34"/>
      <c r="F596" s="34">
        <f>8.9790306325423*E596</f>
        <v>0</v>
      </c>
      <c r="H596" s="36"/>
      <c r="I596" s="34"/>
      <c r="J596" s="34"/>
      <c r="K596" s="34">
        <f>I596+J596</f>
        <v>0</v>
      </c>
      <c r="L596" s="34"/>
      <c r="M596" s="34">
        <f>F596+L596</f>
        <v>0</v>
      </c>
      <c r="O596" s="4" t="e">
        <f>F596/M596</f>
        <v>#VALUE!</v>
      </c>
      <c r="P596" s="4" t="e">
        <f>L596/M596</f>
        <v>#VALUE!</v>
      </c>
    </row>
    <row r="597" spans="1:16" ht="12.75">
      <c r="A597" s="45">
        <v>1602</v>
      </c>
      <c r="B597" s="20"/>
      <c r="C597" s="34"/>
      <c r="E597" s="34"/>
      <c r="F597" s="34">
        <f>8.9790306325423*E597</f>
        <v>0</v>
      </c>
      <c r="H597" s="36"/>
      <c r="I597" s="34"/>
      <c r="J597" s="34"/>
      <c r="K597" s="34">
        <f>I597+J597</f>
        <v>0</v>
      </c>
      <c r="L597" s="34"/>
      <c r="M597" s="34">
        <f>F597+L597</f>
        <v>0</v>
      </c>
      <c r="O597" s="4" t="e">
        <f>F597/M597</f>
        <v>#VALUE!</v>
      </c>
      <c r="P597" s="4" t="e">
        <f>L597/M597</f>
        <v>#VALUE!</v>
      </c>
    </row>
    <row r="598" spans="1:16" ht="12.75">
      <c r="A598" s="45">
        <v>1603</v>
      </c>
      <c r="B598" s="20"/>
      <c r="C598" s="34"/>
      <c r="E598" s="34"/>
      <c r="F598" s="34">
        <f>8.9790306325423*E598</f>
        <v>0</v>
      </c>
      <c r="H598" s="36"/>
      <c r="I598" s="34"/>
      <c r="J598" s="34"/>
      <c r="K598" s="34">
        <f>I598+J598</f>
        <v>0</v>
      </c>
      <c r="L598" s="34"/>
      <c r="M598" s="34">
        <f>F598+L598</f>
        <v>0</v>
      </c>
      <c r="O598" s="4" t="e">
        <f>F598/M598</f>
        <v>#VALUE!</v>
      </c>
      <c r="P598" s="4" t="e">
        <f>L598/M598</f>
        <v>#VALUE!</v>
      </c>
    </row>
    <row r="599" spans="1:16" ht="12.75">
      <c r="A599" s="45">
        <v>1604</v>
      </c>
      <c r="B599" s="20"/>
      <c r="C599" s="34"/>
      <c r="E599" s="34"/>
      <c r="F599" s="34">
        <f>8.9790306325423*E599</f>
        <v>0</v>
      </c>
      <c r="H599" s="36"/>
      <c r="I599" s="34"/>
      <c r="J599" s="34"/>
      <c r="K599" s="34">
        <f>I599+J599</f>
        <v>0</v>
      </c>
      <c r="L599" s="34"/>
      <c r="M599" s="34">
        <f>F599+L599</f>
        <v>0</v>
      </c>
      <c r="O599" s="4" t="e">
        <f>F599/M599</f>
        <v>#VALUE!</v>
      </c>
      <c r="P599" s="4" t="e">
        <f>L599/M599</f>
        <v>#VALUE!</v>
      </c>
    </row>
    <row r="600" spans="1:16" ht="12.75">
      <c r="A600" s="45">
        <v>1605</v>
      </c>
      <c r="B600" s="20"/>
      <c r="C600" s="34"/>
      <c r="E600" s="34"/>
      <c r="F600" s="34">
        <f>8.9790306325423*E600</f>
        <v>0</v>
      </c>
      <c r="H600" s="36"/>
      <c r="I600" s="34"/>
      <c r="J600" s="34"/>
      <c r="K600" s="34">
        <f>I600+J600</f>
        <v>0</v>
      </c>
      <c r="L600" s="34"/>
      <c r="M600" s="34">
        <f>F600+L600</f>
        <v>0</v>
      </c>
      <c r="O600" s="4" t="e">
        <f>F600/M600</f>
        <v>#VALUE!</v>
      </c>
      <c r="P600" s="4" t="e">
        <f>L600/M600</f>
        <v>#VALUE!</v>
      </c>
    </row>
    <row r="601" spans="1:16" ht="12.75">
      <c r="A601" s="45">
        <v>1606</v>
      </c>
      <c r="B601" s="20"/>
      <c r="C601" s="34"/>
      <c r="E601" s="34"/>
      <c r="F601" s="34">
        <f>8.9790306325423*E601</f>
        <v>0</v>
      </c>
      <c r="H601" s="36"/>
      <c r="I601" s="34"/>
      <c r="J601" s="34"/>
      <c r="K601" s="34">
        <f>I601+J601</f>
        <v>0</v>
      </c>
      <c r="L601" s="34"/>
      <c r="M601" s="34">
        <f>F601+L601</f>
        <v>0</v>
      </c>
      <c r="O601" s="4" t="e">
        <f>F601/M601</f>
        <v>#VALUE!</v>
      </c>
      <c r="P601" s="4" t="e">
        <f>L601/M601</f>
        <v>#VALUE!</v>
      </c>
    </row>
    <row r="602" spans="1:16" ht="12.75">
      <c r="A602" s="45">
        <v>1607</v>
      </c>
      <c r="B602" s="20"/>
      <c r="C602" s="34"/>
      <c r="E602" s="34"/>
      <c r="F602" s="34">
        <f>8.9790306325423*E602</f>
        <v>0</v>
      </c>
      <c r="H602" s="36"/>
      <c r="I602" s="34"/>
      <c r="J602" s="34"/>
      <c r="K602" s="34">
        <f>I602+J602</f>
        <v>0</v>
      </c>
      <c r="L602" s="34"/>
      <c r="M602" s="34">
        <f>F602+L602</f>
        <v>0</v>
      </c>
      <c r="O602" s="4" t="e">
        <f>F602/M602</f>
        <v>#VALUE!</v>
      </c>
      <c r="P602" s="4" t="e">
        <f>L602/M602</f>
        <v>#VALUE!</v>
      </c>
    </row>
    <row r="603" spans="1:16" ht="12.75">
      <c r="A603" s="45">
        <v>1608</v>
      </c>
      <c r="B603" s="20"/>
      <c r="C603" s="34"/>
      <c r="E603" s="34"/>
      <c r="F603" s="34">
        <f>8.9790306325423*E603</f>
        <v>0</v>
      </c>
      <c r="H603" s="36"/>
      <c r="I603" s="34"/>
      <c r="J603" s="34"/>
      <c r="K603" s="34">
        <f>I603+J603</f>
        <v>0</v>
      </c>
      <c r="L603" s="34"/>
      <c r="M603" s="34">
        <f>F603+L603</f>
        <v>0</v>
      </c>
      <c r="O603" s="4" t="e">
        <f>F603/M603</f>
        <v>#VALUE!</v>
      </c>
      <c r="P603" s="4" t="e">
        <f>L603/M603</f>
        <v>#VALUE!</v>
      </c>
    </row>
    <row r="604" spans="1:16" ht="12.75">
      <c r="A604" s="45">
        <v>1609</v>
      </c>
      <c r="B604" s="20"/>
      <c r="C604" s="34"/>
      <c r="E604" s="34"/>
      <c r="F604" s="34">
        <f>8.9790306325423*E604</f>
        <v>0</v>
      </c>
      <c r="H604" s="36"/>
      <c r="I604" s="34"/>
      <c r="J604" s="34"/>
      <c r="K604" s="34">
        <f>I604+J604</f>
        <v>0</v>
      </c>
      <c r="L604" s="34"/>
      <c r="M604" s="34">
        <f>F604+L604</f>
        <v>0</v>
      </c>
      <c r="O604" s="4" t="e">
        <f>F604/M604</f>
        <v>#VALUE!</v>
      </c>
      <c r="P604" s="4" t="e">
        <f>L604/M604</f>
        <v>#VALUE!</v>
      </c>
    </row>
    <row r="605" spans="1:16" ht="12.75">
      <c r="A605" s="45">
        <v>1610</v>
      </c>
      <c r="B605" s="20"/>
      <c r="C605" s="34"/>
      <c r="E605" s="34"/>
      <c r="F605" s="34">
        <f>8.9790306325423*E605</f>
        <v>0</v>
      </c>
      <c r="H605" s="36"/>
      <c r="I605" s="34"/>
      <c r="J605" s="34"/>
      <c r="K605" s="34">
        <f>I605+J605</f>
        <v>0</v>
      </c>
      <c r="L605" s="34"/>
      <c r="M605" s="34">
        <f>F605+L605</f>
        <v>0</v>
      </c>
      <c r="O605" s="4" t="e">
        <f>F605/M605</f>
        <v>#VALUE!</v>
      </c>
      <c r="P605" s="4" t="e">
        <f>L605/M605</f>
        <v>#VALUE!</v>
      </c>
    </row>
    <row r="606" spans="1:16" ht="12.75">
      <c r="A606" s="45">
        <v>1611</v>
      </c>
      <c r="B606" s="20"/>
      <c r="C606" s="34"/>
      <c r="E606" s="34"/>
      <c r="F606" s="34">
        <f>8.9790306325423*E606</f>
        <v>0</v>
      </c>
      <c r="H606" s="36"/>
      <c r="I606" s="34"/>
      <c r="J606" s="34"/>
      <c r="K606" s="34">
        <f>I606+J606</f>
        <v>0</v>
      </c>
      <c r="L606" s="34"/>
      <c r="M606" s="34">
        <f>F606+L606</f>
        <v>0</v>
      </c>
      <c r="O606" s="4" t="e">
        <f>F606/M606</f>
        <v>#VALUE!</v>
      </c>
      <c r="P606" s="4" t="e">
        <f>L606/M606</f>
        <v>#VALUE!</v>
      </c>
    </row>
    <row r="607" spans="1:16" ht="12.75">
      <c r="A607" s="45">
        <v>1612</v>
      </c>
      <c r="B607" s="20"/>
      <c r="C607" s="34"/>
      <c r="E607" s="34"/>
      <c r="F607" s="34">
        <f>8.9790306325423*E607</f>
        <v>0</v>
      </c>
      <c r="H607" s="36"/>
      <c r="I607" s="34"/>
      <c r="J607" s="34"/>
      <c r="K607" s="34">
        <f>I607+J607</f>
        <v>0</v>
      </c>
      <c r="L607" s="34"/>
      <c r="M607" s="34">
        <f>F607+L607</f>
        <v>0</v>
      </c>
      <c r="O607" s="4" t="e">
        <f>F607/M607</f>
        <v>#VALUE!</v>
      </c>
      <c r="P607" s="4" t="e">
        <f>L607/M607</f>
        <v>#VALUE!</v>
      </c>
    </row>
    <row r="608" spans="1:16" ht="12.75">
      <c r="A608" s="45">
        <v>1613</v>
      </c>
      <c r="B608" s="20"/>
      <c r="C608" s="34"/>
      <c r="E608" s="34"/>
      <c r="F608" s="34">
        <f>8.9790306325423*E608</f>
        <v>0</v>
      </c>
      <c r="H608" s="36"/>
      <c r="I608" s="34"/>
      <c r="J608" s="34"/>
      <c r="K608" s="34">
        <f>I608+J608</f>
        <v>0</v>
      </c>
      <c r="L608" s="34"/>
      <c r="M608" s="34">
        <f>F608+L608</f>
        <v>0</v>
      </c>
      <c r="O608" s="4" t="e">
        <f>F608/M608</f>
        <v>#VALUE!</v>
      </c>
      <c r="P608" s="4" t="e">
        <f>L608/M608</f>
        <v>#VALUE!</v>
      </c>
    </row>
    <row r="609" spans="1:16" ht="12.75">
      <c r="A609" s="45">
        <v>1614</v>
      </c>
      <c r="B609" s="20"/>
      <c r="C609" s="34"/>
      <c r="E609" s="34"/>
      <c r="F609" s="34">
        <f>8.9790306325423*E609</f>
        <v>0</v>
      </c>
      <c r="H609" s="36"/>
      <c r="I609" s="34"/>
      <c r="K609" s="34">
        <f>I609+J609</f>
        <v>0</v>
      </c>
      <c r="L609" s="34"/>
      <c r="M609" s="34">
        <f>F609+L609</f>
        <v>0</v>
      </c>
      <c r="O609" s="4" t="e">
        <f>F609/M609</f>
        <v>#VALUE!</v>
      </c>
      <c r="P609" s="4" t="e">
        <f>L609/M609</f>
        <v>#VALUE!</v>
      </c>
    </row>
    <row r="610" spans="1:16" ht="12.75">
      <c r="A610" s="45">
        <v>1615</v>
      </c>
      <c r="B610" s="20"/>
      <c r="C610" s="34"/>
      <c r="E610" s="34"/>
      <c r="F610" s="34">
        <f>8.9790306325423*E610</f>
        <v>0</v>
      </c>
      <c r="H610" s="36"/>
      <c r="I610" s="34"/>
      <c r="K610" s="34">
        <f>I610+J610</f>
        <v>0</v>
      </c>
      <c r="M610" s="34">
        <f>F610+L610</f>
        <v>0</v>
      </c>
      <c r="O610" s="4" t="e">
        <f>F610/M610</f>
        <v>#VALUE!</v>
      </c>
      <c r="P610" s="4" t="e">
        <f>L610/M610</f>
        <v>#VALUE!</v>
      </c>
    </row>
    <row r="611" spans="1:16" ht="12.75">
      <c r="A611" s="45">
        <v>1616</v>
      </c>
      <c r="B611" s="20"/>
      <c r="C611" s="34"/>
      <c r="E611" s="34"/>
      <c r="F611" s="34">
        <f>8.9790306325423*E611</f>
        <v>0</v>
      </c>
      <c r="H611" s="36"/>
      <c r="I611" s="34"/>
      <c r="K611" s="34">
        <f>I611+J611</f>
        <v>0</v>
      </c>
      <c r="M611" s="34">
        <f>F611+L611</f>
        <v>0</v>
      </c>
      <c r="O611" s="4" t="e">
        <f>F611/M611</f>
        <v>#VALUE!</v>
      </c>
      <c r="P611" s="4" t="e">
        <f>L611/M611</f>
        <v>#VALUE!</v>
      </c>
    </row>
    <row r="612" spans="1:16" ht="12.75">
      <c r="A612" s="45">
        <v>1617</v>
      </c>
      <c r="B612" s="20"/>
      <c r="C612" s="34"/>
      <c r="E612" s="34"/>
      <c r="F612" s="34">
        <f>8.9790306325423*E612</f>
        <v>0</v>
      </c>
      <c r="H612" s="36"/>
      <c r="I612" s="34"/>
      <c r="K612" s="34">
        <f>I612+J612</f>
        <v>0</v>
      </c>
      <c r="M612" s="34">
        <f>F612+L612</f>
        <v>0</v>
      </c>
      <c r="O612" s="4" t="e">
        <f>F612/M612</f>
        <v>#VALUE!</v>
      </c>
      <c r="P612" s="4" t="e">
        <f>L612/M612</f>
        <v>#VALUE!</v>
      </c>
    </row>
    <row r="613" spans="1:16" ht="12.75">
      <c r="A613" s="45">
        <v>1618</v>
      </c>
      <c r="B613" s="20"/>
      <c r="C613" s="34"/>
      <c r="E613" s="34"/>
      <c r="F613" s="34">
        <f>8.9790306325423*E613</f>
        <v>0</v>
      </c>
      <c r="H613" s="36"/>
      <c r="I613" s="34"/>
      <c r="K613" s="34">
        <f>I613+J613</f>
        <v>0</v>
      </c>
      <c r="M613" s="34">
        <f>F613+L613</f>
        <v>0</v>
      </c>
      <c r="O613" s="4" t="e">
        <f>F613/M613</f>
        <v>#VALUE!</v>
      </c>
      <c r="P613" s="4" t="e">
        <f>L613/M613</f>
        <v>#VALUE!</v>
      </c>
    </row>
    <row r="614" spans="1:16" ht="12.75">
      <c r="A614" s="45">
        <v>1619</v>
      </c>
      <c r="B614" s="20"/>
      <c r="C614" s="34"/>
      <c r="E614" s="34"/>
      <c r="F614" s="34">
        <f>8.9790306325423*E614</f>
        <v>0</v>
      </c>
      <c r="H614" s="36"/>
      <c r="I614" s="34"/>
      <c r="K614" s="34">
        <f>I614+J614</f>
        <v>0</v>
      </c>
      <c r="M614" s="34">
        <f>F614+L614</f>
        <v>0</v>
      </c>
      <c r="O614" s="4" t="e">
        <f>F614/M614</f>
        <v>#VALUE!</v>
      </c>
      <c r="P614" s="4" t="e">
        <f>L614/M614</f>
        <v>#VALUE!</v>
      </c>
    </row>
    <row r="615" spans="1:16" ht="12.75">
      <c r="A615" s="45">
        <v>1620</v>
      </c>
      <c r="B615" s="20"/>
      <c r="C615" s="34"/>
      <c r="E615" s="34"/>
      <c r="F615" s="34">
        <f>8.9790306325423*E615</f>
        <v>0</v>
      </c>
      <c r="H615" s="36"/>
      <c r="I615" s="34"/>
      <c r="K615" s="34">
        <f>I615+J615</f>
        <v>0</v>
      </c>
      <c r="M615" s="34">
        <f>F615+L615</f>
        <v>0</v>
      </c>
      <c r="O615" s="4" t="e">
        <f>F615/M615</f>
        <v>#VALUE!</v>
      </c>
      <c r="P615" s="4" t="e">
        <f>L615/M615</f>
        <v>#VALUE!</v>
      </c>
    </row>
    <row r="616" spans="1:16" ht="12.75">
      <c r="A616" s="45">
        <v>1621</v>
      </c>
      <c r="B616" s="20"/>
      <c r="C616" s="34"/>
      <c r="E616" s="34"/>
      <c r="F616" s="34">
        <f>8.9790306325423*E616</f>
        <v>0</v>
      </c>
      <c r="H616" s="36"/>
      <c r="I616" s="34"/>
      <c r="K616" s="34">
        <f>I616+J616</f>
        <v>0</v>
      </c>
      <c r="M616" s="34">
        <f>F616+L616</f>
        <v>0</v>
      </c>
      <c r="O616" s="4" t="e">
        <f>F616/M616</f>
        <v>#VALUE!</v>
      </c>
      <c r="P616" s="4" t="e">
        <f>L616/M616</f>
        <v>#VALUE!</v>
      </c>
    </row>
    <row r="617" spans="1:16" ht="12.75">
      <c r="A617" s="45">
        <v>1622</v>
      </c>
      <c r="B617" s="20"/>
      <c r="C617" s="34"/>
      <c r="E617" s="34"/>
      <c r="F617" s="34">
        <f>8.9790306325423*E617</f>
        <v>0</v>
      </c>
      <c r="H617" s="36"/>
      <c r="I617" s="34"/>
      <c r="K617" s="34">
        <f>I617+J617</f>
        <v>0</v>
      </c>
      <c r="M617" s="34">
        <f>F617+L617</f>
        <v>0</v>
      </c>
      <c r="O617" s="4" t="e">
        <f>F617/M617</f>
        <v>#VALUE!</v>
      </c>
      <c r="P617" s="4" t="e">
        <f>L617/M617</f>
        <v>#VALUE!</v>
      </c>
    </row>
    <row r="618" spans="1:16" ht="12.75">
      <c r="A618" s="45">
        <v>1623</v>
      </c>
      <c r="B618" s="20"/>
      <c r="C618" s="34"/>
      <c r="E618" s="34"/>
      <c r="F618" s="34">
        <f>8.9790306325423*E618</f>
        <v>0</v>
      </c>
      <c r="H618" s="36"/>
      <c r="I618" s="34"/>
      <c r="K618" s="34">
        <f>I618+J618</f>
        <v>0</v>
      </c>
      <c r="M618" s="34">
        <f>F618+L618</f>
        <v>0</v>
      </c>
      <c r="O618" s="4" t="e">
        <f>F618/M618</f>
        <v>#VALUE!</v>
      </c>
      <c r="P618" s="4" t="e">
        <f>L618/M618</f>
        <v>#VALUE!</v>
      </c>
    </row>
    <row r="619" spans="1:16" ht="12.75">
      <c r="A619" s="45">
        <v>1624</v>
      </c>
      <c r="B619" s="20"/>
      <c r="C619" s="34"/>
      <c r="E619" s="34"/>
      <c r="F619" s="34">
        <f>8.9790306325423*E619</f>
        <v>0</v>
      </c>
      <c r="H619" s="36"/>
      <c r="I619" s="34"/>
      <c r="K619" s="34">
        <f>I619+J619</f>
        <v>0</v>
      </c>
      <c r="M619" s="34">
        <f>F619+L619</f>
        <v>0</v>
      </c>
      <c r="O619" s="4" t="e">
        <f>F619/M619</f>
        <v>#VALUE!</v>
      </c>
      <c r="P619" s="4" t="e">
        <f>L619/M619</f>
        <v>#VALUE!</v>
      </c>
    </row>
    <row r="620" spans="1:16" ht="12.75">
      <c r="A620" s="45">
        <v>1625</v>
      </c>
      <c r="B620" s="20"/>
      <c r="C620" s="34"/>
      <c r="E620" s="34"/>
      <c r="F620" s="34">
        <f>8.9790306325423*E620</f>
        <v>0</v>
      </c>
      <c r="H620" s="36"/>
      <c r="I620" s="34"/>
      <c r="K620" s="34">
        <f>I620+J620</f>
        <v>0</v>
      </c>
      <c r="M620" s="34">
        <f>F620+L620</f>
        <v>0</v>
      </c>
      <c r="O620" s="4" t="e">
        <f>F620/M620</f>
        <v>#VALUE!</v>
      </c>
      <c r="P620" s="4" t="e">
        <f>L620/M620</f>
        <v>#VALUE!</v>
      </c>
    </row>
    <row r="621" spans="1:16" ht="12.75">
      <c r="A621" s="45">
        <v>1626</v>
      </c>
      <c r="B621" s="20"/>
      <c r="C621" s="34"/>
      <c r="E621" s="34"/>
      <c r="F621" s="34">
        <f>8.9790306325423*E621</f>
        <v>0</v>
      </c>
      <c r="H621" s="36"/>
      <c r="I621" s="34"/>
      <c r="K621" s="34">
        <f>I621+J621</f>
        <v>0</v>
      </c>
      <c r="M621" s="34">
        <f>F621+L621</f>
        <v>0</v>
      </c>
      <c r="O621" s="4" t="e">
        <f>F621/M621</f>
        <v>#VALUE!</v>
      </c>
      <c r="P621" s="4" t="e">
        <f>L621/M621</f>
        <v>#VALUE!</v>
      </c>
    </row>
    <row r="622" spans="1:16" ht="12.75">
      <c r="A622" s="45">
        <v>1627</v>
      </c>
      <c r="B622" s="20"/>
      <c r="C622" s="34"/>
      <c r="E622" s="34"/>
      <c r="F622" s="34">
        <f>8.9790306325423*E622</f>
        <v>0</v>
      </c>
      <c r="I622" s="34"/>
      <c r="K622" s="34">
        <f>I622+J622</f>
        <v>0</v>
      </c>
      <c r="M622" s="34">
        <f>F622+L622</f>
        <v>0</v>
      </c>
      <c r="O622" s="4" t="e">
        <f>F622/M622</f>
        <v>#VALUE!</v>
      </c>
      <c r="P622" s="4" t="e">
        <f>L622/M622</f>
        <v>#VALUE!</v>
      </c>
    </row>
    <row r="623" spans="1:16" ht="12.75">
      <c r="A623" s="45">
        <v>1628</v>
      </c>
      <c r="B623" s="20"/>
      <c r="C623" s="34"/>
      <c r="F623" s="34">
        <f>8.9790306325423*E623</f>
        <v>0</v>
      </c>
      <c r="I623" s="34"/>
      <c r="K623" s="34">
        <f>I623+J623</f>
        <v>0</v>
      </c>
      <c r="M623" s="34">
        <f>F623+L623</f>
        <v>0</v>
      </c>
      <c r="O623" s="4" t="e">
        <f>F623/M623</f>
        <v>#VALUE!</v>
      </c>
      <c r="P623" s="4" t="e">
        <f>L623/M623</f>
        <v>#VALUE!</v>
      </c>
    </row>
    <row r="624" spans="1:16" ht="12.75">
      <c r="A624" s="45">
        <v>1629</v>
      </c>
      <c r="B624" s="20"/>
      <c r="C624" s="34"/>
      <c r="F624" s="34">
        <f>8.9790306325423*E624</f>
        <v>0</v>
      </c>
      <c r="I624" s="34"/>
      <c r="K624" s="34">
        <f>I624+J624</f>
        <v>0</v>
      </c>
      <c r="M624" s="34">
        <f>F624+L624</f>
        <v>0</v>
      </c>
      <c r="O624" s="4" t="e">
        <f>F624/M624</f>
        <v>#VALUE!</v>
      </c>
      <c r="P624" s="4" t="e">
        <f>L624/M624</f>
        <v>#VALUE!</v>
      </c>
    </row>
    <row r="625" spans="1:16" ht="12.75">
      <c r="A625" s="45">
        <v>1630</v>
      </c>
      <c r="B625" s="20"/>
      <c r="C625" s="34"/>
      <c r="F625" s="34">
        <f>8.9790306325423*E625</f>
        <v>0</v>
      </c>
      <c r="I625" s="34"/>
      <c r="K625" s="34">
        <f>I625+J625</f>
        <v>0</v>
      </c>
      <c r="M625" s="34">
        <f>F625+L625</f>
        <v>0</v>
      </c>
      <c r="O625" s="4" t="e">
        <f>F625/M625</f>
        <v>#VALUE!</v>
      </c>
      <c r="P625" s="4" t="e">
        <f>L625/M625</f>
        <v>#VALUE!</v>
      </c>
    </row>
    <row r="626" spans="1:16" ht="12.75">
      <c r="A626" s="45">
        <v>1631</v>
      </c>
      <c r="B626" s="20"/>
      <c r="C626" s="34"/>
      <c r="F626" s="34">
        <f>8.9790306325423*E626</f>
        <v>0</v>
      </c>
      <c r="I626" s="34"/>
      <c r="K626" s="34">
        <f>I626+J626</f>
        <v>0</v>
      </c>
      <c r="M626" s="34">
        <f>F626+L626</f>
        <v>0</v>
      </c>
      <c r="O626" s="4" t="e">
        <f>F626/M626</f>
        <v>#VALUE!</v>
      </c>
      <c r="P626" s="4" t="e">
        <f>L626/M626</f>
        <v>#VALUE!</v>
      </c>
    </row>
    <row r="627" spans="1:16" ht="12.75">
      <c r="A627" s="45">
        <v>1632</v>
      </c>
      <c r="B627" s="20"/>
      <c r="C627" s="34"/>
      <c r="F627" s="34">
        <f>8.9790306325423*E627</f>
        <v>0</v>
      </c>
      <c r="I627" s="34"/>
      <c r="K627" s="34">
        <f>I627+J627</f>
        <v>0</v>
      </c>
      <c r="M627" s="34">
        <f>F627+L627</f>
        <v>0</v>
      </c>
      <c r="O627" s="4" t="e">
        <f>F627/M627</f>
        <v>#VALUE!</v>
      </c>
      <c r="P627" s="4" t="e">
        <f>L627/M627</f>
        <v>#VALUE!</v>
      </c>
    </row>
    <row r="628" spans="1:16" ht="12.75">
      <c r="A628" s="45">
        <v>1633</v>
      </c>
      <c r="B628" s="20"/>
      <c r="C628" s="34"/>
      <c r="F628" s="34">
        <f>8.9790306325423*E628</f>
        <v>0</v>
      </c>
      <c r="I628" s="34"/>
      <c r="K628" s="34">
        <f>I628+J628</f>
        <v>0</v>
      </c>
      <c r="M628" s="34">
        <f>F628+L628</f>
        <v>0</v>
      </c>
      <c r="O628" s="4" t="e">
        <f>F628/M628</f>
        <v>#VALUE!</v>
      </c>
      <c r="P628" s="4" t="e">
        <f>L628/M628</f>
        <v>#VALUE!</v>
      </c>
    </row>
    <row r="629" spans="1:16" ht="12.75">
      <c r="A629" s="45">
        <v>1634</v>
      </c>
      <c r="B629" s="20"/>
      <c r="C629" s="34"/>
      <c r="F629" s="34">
        <f>8.9790306325423*E629</f>
        <v>0</v>
      </c>
      <c r="I629" s="34"/>
      <c r="K629" s="34">
        <f>I629+J629</f>
        <v>0</v>
      </c>
      <c r="M629" s="34">
        <f>F629+L629</f>
        <v>0</v>
      </c>
      <c r="O629" s="4" t="e">
        <f>F629/M629</f>
        <v>#VALUE!</v>
      </c>
      <c r="P629" s="4" t="e">
        <f>L629/M629</f>
        <v>#VALUE!</v>
      </c>
    </row>
    <row r="630" spans="1:16" ht="12.75">
      <c r="A630" s="45">
        <v>1635</v>
      </c>
      <c r="B630" s="20"/>
      <c r="C630" s="34"/>
      <c r="F630" s="34">
        <f>8.9790306325423*E630</f>
        <v>0</v>
      </c>
      <c r="I630" s="34"/>
      <c r="K630" s="34">
        <f>I630+J630</f>
        <v>0</v>
      </c>
      <c r="M630" s="34">
        <f>F630+L630</f>
        <v>0</v>
      </c>
      <c r="O630" s="4" t="e">
        <f>F630/M630</f>
        <v>#VALUE!</v>
      </c>
      <c r="P630" s="4" t="e">
        <f>L630/M630</f>
        <v>#VALUE!</v>
      </c>
    </row>
    <row r="631" spans="1:16" ht="12.75">
      <c r="A631" s="45">
        <v>1636</v>
      </c>
      <c r="B631" s="20"/>
      <c r="C631" s="34"/>
      <c r="F631" s="34">
        <f>8.9790306325423*E631</f>
        <v>0</v>
      </c>
      <c r="I631" s="34"/>
      <c r="K631" s="34">
        <f>I631+J631</f>
        <v>0</v>
      </c>
      <c r="M631" s="34">
        <f>F631+L631</f>
        <v>0</v>
      </c>
      <c r="O631" s="4" t="e">
        <f>F631/M631</f>
        <v>#VALUE!</v>
      </c>
      <c r="P631" s="4" t="e">
        <f>L631/M631</f>
        <v>#VALUE!</v>
      </c>
    </row>
    <row r="632" spans="1:16" ht="12.75">
      <c r="A632" s="45">
        <v>1637</v>
      </c>
      <c r="B632" s="20"/>
      <c r="C632" s="34"/>
      <c r="F632" s="34">
        <f>8.9790306325423*E632</f>
        <v>0</v>
      </c>
      <c r="I632" s="34"/>
      <c r="K632" s="34">
        <f>I632+J632</f>
        <v>0</v>
      </c>
      <c r="M632" s="34">
        <f>F632+L632</f>
        <v>0</v>
      </c>
      <c r="O632" s="4" t="e">
        <f>F632/M632</f>
        <v>#VALUE!</v>
      </c>
      <c r="P632" s="4" t="e">
        <f>L632/M632</f>
        <v>#VALUE!</v>
      </c>
    </row>
    <row r="633" spans="1:16" ht="12.75">
      <c r="A633" s="45">
        <v>1638</v>
      </c>
      <c r="B633" s="20"/>
      <c r="C633" s="34"/>
      <c r="F633" s="34">
        <f>8.9790306325423*E633</f>
        <v>0</v>
      </c>
      <c r="I633" s="34"/>
      <c r="K633" s="34">
        <f>I633+J633</f>
        <v>0</v>
      </c>
      <c r="M633" s="34">
        <f>F633+L633</f>
        <v>0</v>
      </c>
      <c r="O633" s="4" t="e">
        <f>F633/M633</f>
        <v>#VALUE!</v>
      </c>
      <c r="P633" s="4" t="e">
        <f>L633/M633</f>
        <v>#VALUE!</v>
      </c>
    </row>
    <row r="634" spans="1:16" ht="12.75">
      <c r="A634" s="45">
        <v>1639</v>
      </c>
      <c r="B634" s="20"/>
      <c r="C634" s="34"/>
      <c r="F634" s="34">
        <f>8.9790306325423*E634</f>
        <v>0</v>
      </c>
      <c r="I634" s="34"/>
      <c r="K634" s="34">
        <f>I634+J634</f>
        <v>0</v>
      </c>
      <c r="M634" s="34">
        <f>F634+L634</f>
        <v>0</v>
      </c>
      <c r="O634" s="4" t="e">
        <f>F634/M634</f>
        <v>#VALUE!</v>
      </c>
      <c r="P634" s="4" t="e">
        <f>L634/M634</f>
        <v>#VALUE!</v>
      </c>
    </row>
    <row r="635" spans="1:16" ht="12.75">
      <c r="A635" s="45">
        <v>1640</v>
      </c>
      <c r="F635" s="34">
        <f>8.9790306325423*E635</f>
        <v>0</v>
      </c>
      <c r="I635" s="34"/>
      <c r="K635" s="34">
        <f>I635+J635</f>
        <v>0</v>
      </c>
      <c r="M635" s="34">
        <f>F635+L635</f>
        <v>0</v>
      </c>
      <c r="O635" s="4" t="e">
        <f>F635/M635</f>
        <v>#VALUE!</v>
      </c>
      <c r="P635" s="4" t="e">
        <f>L635/M635</f>
        <v>#VALUE!</v>
      </c>
    </row>
    <row r="636" spans="1:16" ht="12.75">
      <c r="A636" s="45">
        <v>1641</v>
      </c>
      <c r="F636" s="34">
        <f>8.9790306325423*E636</f>
        <v>0</v>
      </c>
      <c r="I636" s="34"/>
      <c r="K636" s="34">
        <f>I636+J636</f>
        <v>0</v>
      </c>
      <c r="M636" s="34">
        <f>F636+L636</f>
        <v>0</v>
      </c>
      <c r="O636" s="4" t="e">
        <f>F636/M636</f>
        <v>#VALUE!</v>
      </c>
      <c r="P636" s="4" t="e">
        <f>L636/M636</f>
        <v>#VALUE!</v>
      </c>
    </row>
    <row r="637" spans="1:16" ht="12.75">
      <c r="A637" s="45">
        <v>1642</v>
      </c>
      <c r="F637" s="34">
        <f>8.9790306325423*E637</f>
        <v>0</v>
      </c>
      <c r="I637" s="34"/>
      <c r="K637" s="34">
        <f>I637+J637</f>
        <v>0</v>
      </c>
      <c r="M637" s="34">
        <f>F637+L637</f>
        <v>0</v>
      </c>
      <c r="O637" s="4" t="e">
        <f>F637/M637</f>
        <v>#VALUE!</v>
      </c>
      <c r="P637" s="4" t="e">
        <f>L637/M637</f>
        <v>#VALUE!</v>
      </c>
    </row>
    <row r="638" spans="1:16" ht="12.75">
      <c r="A638" s="45">
        <v>1643</v>
      </c>
      <c r="F638" s="34">
        <f>8.9790306325423*E638</f>
        <v>0</v>
      </c>
      <c r="I638" s="34"/>
      <c r="K638" s="34">
        <f>I638+J638</f>
        <v>0</v>
      </c>
      <c r="M638" s="34">
        <f>F638+L638</f>
        <v>0</v>
      </c>
      <c r="O638" s="4" t="e">
        <f>F638/M638</f>
        <v>#VALUE!</v>
      </c>
      <c r="P638" s="4" t="e">
        <f>L638/M638</f>
        <v>#VALUE!</v>
      </c>
    </row>
    <row r="639" spans="1:16" ht="12.75">
      <c r="A639" s="45">
        <v>1644</v>
      </c>
      <c r="F639" s="34">
        <f>8.9790306325423*E639</f>
        <v>0</v>
      </c>
      <c r="I639" s="34"/>
      <c r="K639" s="34">
        <f>I639+J639</f>
        <v>0</v>
      </c>
      <c r="M639" s="34">
        <f>F639+L639</f>
        <v>0</v>
      </c>
      <c r="O639" s="4" t="e">
        <f>F639/M639</f>
        <v>#VALUE!</v>
      </c>
      <c r="P639" s="4" t="e">
        <f>L639/M639</f>
        <v>#VALUE!</v>
      </c>
    </row>
    <row r="640" spans="1:16" ht="12.75">
      <c r="A640" s="45">
        <v>1645</v>
      </c>
      <c r="F640" s="34">
        <f>8.9790306325423*E640</f>
        <v>0</v>
      </c>
      <c r="I640" s="34"/>
      <c r="K640" s="34">
        <f>I640+J640</f>
        <v>0</v>
      </c>
      <c r="M640" s="34">
        <f>F640+L640</f>
        <v>0</v>
      </c>
      <c r="O640" s="4" t="e">
        <f>F640/M640</f>
        <v>#VALUE!</v>
      </c>
      <c r="P640" s="4" t="e">
        <f>L640/M640</f>
        <v>#VALUE!</v>
      </c>
    </row>
    <row r="641" spans="1:16" ht="12.75">
      <c r="A641" s="45">
        <v>1646</v>
      </c>
      <c r="F641" s="34">
        <f>8.9790306325423*E641</f>
        <v>0</v>
      </c>
      <c r="I641" s="34"/>
      <c r="K641" s="34">
        <f>I641+J641</f>
        <v>0</v>
      </c>
      <c r="M641" s="34">
        <f>F641+L641</f>
        <v>0</v>
      </c>
      <c r="O641" s="4" t="e">
        <f>F641/M641</f>
        <v>#VALUE!</v>
      </c>
      <c r="P641" s="4" t="e">
        <f>L641/M641</f>
        <v>#VALUE!</v>
      </c>
    </row>
    <row r="642" spans="1:16" ht="12.75">
      <c r="A642" s="45">
        <v>1647</v>
      </c>
      <c r="F642" s="34">
        <f>8.9790306325423*E642</f>
        <v>0</v>
      </c>
      <c r="I642" s="34"/>
      <c r="K642" s="34">
        <f>I642+J642</f>
        <v>0</v>
      </c>
      <c r="M642" s="34">
        <f>F642+L642</f>
        <v>0</v>
      </c>
      <c r="O642" s="4" t="e">
        <f>F642/M642</f>
        <v>#VALUE!</v>
      </c>
      <c r="P642" s="4" t="e">
        <f>L642/M642</f>
        <v>#VALUE!</v>
      </c>
    </row>
    <row r="643" spans="1:16" ht="12.75">
      <c r="A643" s="45">
        <v>1648</v>
      </c>
      <c r="F643" s="34">
        <f>8.9790306325423*E643</f>
        <v>0</v>
      </c>
      <c r="I643" s="34"/>
      <c r="K643" s="34">
        <f>I643+J643</f>
        <v>0</v>
      </c>
      <c r="M643" s="34">
        <f>F643+L643</f>
        <v>0</v>
      </c>
      <c r="O643" s="4" t="e">
        <f>F643/M643</f>
        <v>#VALUE!</v>
      </c>
      <c r="P643" s="4" t="e">
        <f>L643/M643</f>
        <v>#VALUE!</v>
      </c>
    </row>
    <row r="644" spans="1:16" ht="12.75">
      <c r="A644" s="45">
        <v>1649</v>
      </c>
      <c r="F644" s="34">
        <f>8.9790306325423*E644</f>
        <v>0</v>
      </c>
      <c r="I644" s="34"/>
      <c r="K644" s="34">
        <f>I644+J644</f>
        <v>0</v>
      </c>
      <c r="M644" s="34">
        <f>F644+L644</f>
        <v>0</v>
      </c>
      <c r="O644" s="4" t="e">
        <f>F644/M644</f>
        <v>#VALUE!</v>
      </c>
      <c r="P644" s="4" t="e">
        <f>L644/M644</f>
        <v>#VALUE!</v>
      </c>
    </row>
    <row r="645" spans="1:16" ht="12.75">
      <c r="A645" s="45">
        <v>1650</v>
      </c>
      <c r="F645" s="34">
        <f>8.9790306325423*E645</f>
        <v>0</v>
      </c>
      <c r="I645" s="34"/>
      <c r="K645" s="34">
        <f>I645+J645</f>
        <v>0</v>
      </c>
      <c r="M645" s="34">
        <f>F645+L645</f>
        <v>0</v>
      </c>
      <c r="O645" s="4" t="e">
        <f>F645/M645</f>
        <v>#VALUE!</v>
      </c>
      <c r="P645" s="4" t="e">
        <f>L645/M645</f>
        <v>#VALUE!</v>
      </c>
    </row>
    <row r="646" spans="1:16" ht="12.75">
      <c r="A646" s="45">
        <v>1651</v>
      </c>
      <c r="F646" s="34">
        <f>8.9790306325423*E646</f>
        <v>0</v>
      </c>
      <c r="I646" s="34"/>
      <c r="K646" s="34">
        <f>I646+J646</f>
        <v>0</v>
      </c>
      <c r="M646" s="34">
        <f>F646+L646</f>
        <v>0</v>
      </c>
      <c r="O646" s="4" t="e">
        <f>F646/M646</f>
        <v>#VALUE!</v>
      </c>
      <c r="P646" s="4" t="e">
        <f>L646/M646</f>
        <v>#VALUE!</v>
      </c>
    </row>
    <row r="647" spans="1:16" ht="12.75">
      <c r="A647" s="45">
        <v>1652</v>
      </c>
      <c r="F647" s="34">
        <f>8.9790306325423*E647</f>
        <v>0</v>
      </c>
      <c r="I647" s="34"/>
      <c r="K647" s="34">
        <f>I647+J647</f>
        <v>0</v>
      </c>
      <c r="M647" s="34">
        <f>F647+L647</f>
        <v>0</v>
      </c>
      <c r="O647" s="4" t="e">
        <f>F647/M647</f>
        <v>#VALUE!</v>
      </c>
      <c r="P647" s="4" t="e">
        <f>L647/M647</f>
        <v>#VALUE!</v>
      </c>
    </row>
    <row r="648" spans="1:16" ht="12.75">
      <c r="A648" s="45">
        <v>1653</v>
      </c>
      <c r="F648" s="34">
        <f>8.9790306325423*E648</f>
        <v>0</v>
      </c>
      <c r="I648" s="34"/>
      <c r="K648" s="34">
        <f>I648+J648</f>
        <v>0</v>
      </c>
      <c r="M648" s="34">
        <f>F648+L648</f>
        <v>0</v>
      </c>
      <c r="O648" s="4" t="e">
        <f>F648/M648</f>
        <v>#VALUE!</v>
      </c>
      <c r="P648" s="4" t="e">
        <f>L648/M648</f>
        <v>#VALUE!</v>
      </c>
    </row>
    <row r="649" spans="1:16" ht="12.75">
      <c r="A649" s="45">
        <v>1654</v>
      </c>
      <c r="F649" s="34">
        <f>8.9790306325423*E649</f>
        <v>0</v>
      </c>
      <c r="I649" s="34"/>
      <c r="K649" s="34">
        <f>I649+J649</f>
        <v>0</v>
      </c>
      <c r="M649" s="34">
        <f>F649+L649</f>
        <v>0</v>
      </c>
      <c r="O649" s="4" t="e">
        <f>F649/M649</f>
        <v>#VALUE!</v>
      </c>
      <c r="P649" s="4" t="e">
        <f>L649/M649</f>
        <v>#VALUE!</v>
      </c>
    </row>
    <row r="650" spans="1:16" ht="12.75">
      <c r="A650" s="45">
        <v>1655</v>
      </c>
      <c r="F650" s="34">
        <f>8.9790306325423*E650</f>
        <v>0</v>
      </c>
      <c r="I650" s="34"/>
      <c r="K650" s="34">
        <f>I650+J650</f>
        <v>0</v>
      </c>
      <c r="M650" s="34">
        <f>F650+L650</f>
        <v>0</v>
      </c>
      <c r="O650" s="4" t="e">
        <f>F650/M650</f>
        <v>#VALUE!</v>
      </c>
      <c r="P650" s="4" t="e">
        <f>L650/M650</f>
        <v>#VALUE!</v>
      </c>
    </row>
    <row r="651" spans="1:16" ht="12.75">
      <c r="A651" s="45">
        <v>1656</v>
      </c>
      <c r="F651" s="34">
        <f>8.9790306325423*E651</f>
        <v>0</v>
      </c>
      <c r="I651" s="34"/>
      <c r="K651" s="34">
        <f>I651+J651</f>
        <v>0</v>
      </c>
      <c r="M651" s="34">
        <f>F651+L651</f>
        <v>0</v>
      </c>
      <c r="O651" s="4" t="e">
        <f>F651/M651</f>
        <v>#VALUE!</v>
      </c>
      <c r="P651" s="4" t="e">
        <f>L651/M651</f>
        <v>#VALUE!</v>
      </c>
    </row>
    <row r="652" spans="1:16" ht="12.75">
      <c r="A652" s="45">
        <v>1657</v>
      </c>
      <c r="F652" s="34">
        <f>8.9790306325423*E652</f>
        <v>0</v>
      </c>
      <c r="I652" s="34"/>
      <c r="K652" s="34">
        <f>I652+J652</f>
        <v>0</v>
      </c>
      <c r="M652" s="34">
        <f>F652+L652</f>
        <v>0</v>
      </c>
      <c r="O652" s="4" t="e">
        <f>F652/M652</f>
        <v>#VALUE!</v>
      </c>
      <c r="P652" s="4" t="e">
        <f>L652/M652</f>
        <v>#VALUE!</v>
      </c>
    </row>
    <row r="653" spans="1:16" ht="12.75">
      <c r="A653" s="45">
        <v>1658</v>
      </c>
      <c r="F653" s="34">
        <f>8.9790306325423*E653</f>
        <v>0</v>
      </c>
      <c r="I653" s="34"/>
      <c r="K653" s="34">
        <f>I653+J653</f>
        <v>0</v>
      </c>
      <c r="M653" s="34">
        <f>F653+L653</f>
        <v>0</v>
      </c>
      <c r="O653" s="4" t="e">
        <f>F653/M653</f>
        <v>#VALUE!</v>
      </c>
      <c r="P653" s="4" t="e">
        <f>L653/M653</f>
        <v>#VALUE!</v>
      </c>
    </row>
    <row r="654" spans="1:16" ht="12.75">
      <c r="A654" s="45">
        <v>1659</v>
      </c>
      <c r="F654" s="34">
        <f>8.9790306325423*E654</f>
        <v>0</v>
      </c>
      <c r="I654" s="34"/>
      <c r="K654" s="34">
        <f>I654+J654</f>
        <v>0</v>
      </c>
      <c r="M654" s="34">
        <f>F654+L654</f>
        <v>0</v>
      </c>
      <c r="O654" s="4" t="e">
        <f>F654/M654</f>
        <v>#VALUE!</v>
      </c>
      <c r="P654" s="4" t="e">
        <f>L654/M654</f>
        <v>#VALUE!</v>
      </c>
    </row>
    <row r="655" spans="1:16" ht="12.75">
      <c r="A655" s="45">
        <v>1660</v>
      </c>
      <c r="F655" s="34">
        <f>8.9790306325423*E655</f>
        <v>0</v>
      </c>
      <c r="I655" s="34"/>
      <c r="K655" s="34">
        <f>I655+J655</f>
        <v>0</v>
      </c>
      <c r="M655" s="34">
        <f>F655+L655</f>
        <v>0</v>
      </c>
      <c r="O655" s="4" t="e">
        <f>F655/M655</f>
        <v>#VALUE!</v>
      </c>
      <c r="P655" s="4" t="e">
        <f>L655/M655</f>
        <v>#VALUE!</v>
      </c>
    </row>
    <row r="656" spans="1:16" ht="12.75">
      <c r="A656" s="45">
        <v>1661</v>
      </c>
      <c r="F656" s="34">
        <f>8.9790306325423*E656</f>
        <v>0</v>
      </c>
      <c r="I656" s="34"/>
      <c r="K656" s="34">
        <f>I656+J656</f>
        <v>0</v>
      </c>
      <c r="M656" s="34">
        <f>F656+L656</f>
        <v>0</v>
      </c>
      <c r="O656" s="4" t="e">
        <f>F656/M656</f>
        <v>#VALUE!</v>
      </c>
      <c r="P656" s="4" t="e">
        <f>L656/M656</f>
        <v>#VALUE!</v>
      </c>
    </row>
    <row r="657" spans="1:16" ht="12.75">
      <c r="A657" s="45">
        <v>1662</v>
      </c>
      <c r="F657" s="34">
        <f>8.9790306325423*E657</f>
        <v>0</v>
      </c>
      <c r="I657" s="34"/>
      <c r="K657" s="34">
        <f>I657+J657</f>
        <v>0</v>
      </c>
      <c r="M657" s="34">
        <f>F657+L657</f>
        <v>0</v>
      </c>
      <c r="O657" s="4" t="e">
        <f>F657/M657</f>
        <v>#VALUE!</v>
      </c>
      <c r="P657" s="4" t="e">
        <f>L657/M657</f>
        <v>#VALUE!</v>
      </c>
    </row>
    <row r="658" spans="1:16" ht="12.75">
      <c r="A658" s="45">
        <v>1663</v>
      </c>
      <c r="F658" s="34">
        <f>8.9790306325423*E658</f>
        <v>0</v>
      </c>
      <c r="I658" s="34"/>
      <c r="K658" s="34">
        <f>I658+J658</f>
        <v>0</v>
      </c>
      <c r="M658" s="34">
        <f>F658+L658</f>
        <v>0</v>
      </c>
      <c r="O658" s="4" t="e">
        <f>F658/M658</f>
        <v>#VALUE!</v>
      </c>
      <c r="P658" s="4" t="e">
        <f>L658/M658</f>
        <v>#VALUE!</v>
      </c>
    </row>
    <row r="659" spans="1:16" ht="12.75">
      <c r="A659" s="45">
        <v>1664</v>
      </c>
      <c r="F659" s="34">
        <f>8.9790306325423*E659</f>
        <v>0</v>
      </c>
      <c r="I659" s="34"/>
      <c r="K659" s="34">
        <f>I659+J659</f>
        <v>0</v>
      </c>
      <c r="M659" s="34">
        <f>F659+L659</f>
        <v>0</v>
      </c>
      <c r="O659" s="4" t="e">
        <f>F659/M659</f>
        <v>#VALUE!</v>
      </c>
      <c r="P659" s="4" t="e">
        <f>L659/M659</f>
        <v>#VALUE!</v>
      </c>
    </row>
    <row r="660" spans="1:16" ht="12.75">
      <c r="A660" s="45">
        <v>1665</v>
      </c>
      <c r="F660" s="34">
        <f>8.9790306325423*E660</f>
        <v>0</v>
      </c>
      <c r="I660" s="34"/>
      <c r="K660" s="34">
        <f>I660+J660</f>
        <v>0</v>
      </c>
      <c r="M660" s="34">
        <f>F660+L660</f>
        <v>0</v>
      </c>
      <c r="O660" s="4" t="e">
        <f>F660/M660</f>
        <v>#VALUE!</v>
      </c>
      <c r="P660" s="4" t="e">
        <f>L660/M660</f>
        <v>#VALUE!</v>
      </c>
    </row>
    <row r="661" spans="1:16" ht="12.75">
      <c r="A661" s="45">
        <v>1666</v>
      </c>
      <c r="F661" s="34">
        <f>8.9790306325423*E661</f>
        <v>0</v>
      </c>
      <c r="I661" s="34"/>
      <c r="K661" s="34">
        <f>I661+J661</f>
        <v>0</v>
      </c>
      <c r="M661" s="34">
        <f>F661+L661</f>
        <v>0</v>
      </c>
      <c r="O661" s="4" t="e">
        <f>F661/M661</f>
        <v>#VALUE!</v>
      </c>
      <c r="P661" s="4" t="e">
        <f>L661/M661</f>
        <v>#VALUE!</v>
      </c>
    </row>
    <row r="662" spans="1:16" ht="12.75">
      <c r="A662" s="45">
        <v>1667</v>
      </c>
      <c r="F662" s="34">
        <f>8.9790306325423*E662</f>
        <v>0</v>
      </c>
      <c r="I662" s="34"/>
      <c r="K662" s="34">
        <f>I662+J662</f>
        <v>0</v>
      </c>
      <c r="M662" s="34">
        <f>F662+L662</f>
        <v>0</v>
      </c>
      <c r="O662" s="4" t="e">
        <f>F662/M662</f>
        <v>#VALUE!</v>
      </c>
      <c r="P662" s="4" t="e">
        <f>L662/M662</f>
        <v>#VALUE!</v>
      </c>
    </row>
    <row r="663" spans="1:16" ht="12.75">
      <c r="A663" s="45">
        <v>1668</v>
      </c>
      <c r="F663" s="34">
        <f>8.9790306325423*E663</f>
        <v>0</v>
      </c>
      <c r="I663" s="34"/>
      <c r="K663" s="34">
        <f>I663+J663</f>
        <v>0</v>
      </c>
      <c r="M663" s="34">
        <f>F663+L663</f>
        <v>0</v>
      </c>
      <c r="O663" s="4" t="e">
        <f>F663/M663</f>
        <v>#VALUE!</v>
      </c>
      <c r="P663" s="4" t="e">
        <f>L663/M663</f>
        <v>#VALUE!</v>
      </c>
    </row>
    <row r="664" spans="1:16" ht="12.75">
      <c r="A664" s="45">
        <v>1669</v>
      </c>
      <c r="F664" s="34">
        <f>8.9790306325423*E664</f>
        <v>0</v>
      </c>
      <c r="I664" s="34"/>
      <c r="K664" s="34">
        <f>I664+J664</f>
        <v>0</v>
      </c>
      <c r="M664" s="34">
        <f>F664+L664</f>
        <v>0</v>
      </c>
      <c r="O664" s="4" t="e">
        <f>F664/M664</f>
        <v>#VALUE!</v>
      </c>
      <c r="P664" s="4" t="e">
        <f>L664/M664</f>
        <v>#VALUE!</v>
      </c>
    </row>
    <row r="665" spans="1:16" ht="12.75">
      <c r="A665" s="45">
        <v>1670</v>
      </c>
      <c r="F665" s="34">
        <f>8.9790306325423*E665</f>
        <v>0</v>
      </c>
      <c r="I665" s="34"/>
      <c r="K665" s="34">
        <f>I665+J665</f>
        <v>0</v>
      </c>
      <c r="M665" s="34">
        <f>F665+L665</f>
        <v>0</v>
      </c>
      <c r="O665" s="4" t="e">
        <f>F665/M665</f>
        <v>#VALUE!</v>
      </c>
      <c r="P665" s="4" t="e">
        <f>L665/M665</f>
        <v>#VALUE!</v>
      </c>
    </row>
    <row r="666" spans="1:16" ht="12.75">
      <c r="A666" s="45">
        <v>1671</v>
      </c>
      <c r="F666" s="34">
        <f>8.9790306325423*E666</f>
        <v>0</v>
      </c>
      <c r="I666" s="34"/>
      <c r="K666" s="34">
        <f>I666+J666</f>
        <v>0</v>
      </c>
      <c r="M666" s="34">
        <f>F666+L666</f>
        <v>0</v>
      </c>
      <c r="O666" s="4" t="e">
        <f>F666/M666</f>
        <v>#VALUE!</v>
      </c>
      <c r="P666" s="4" t="e">
        <f>L666/M666</f>
        <v>#VALUE!</v>
      </c>
    </row>
    <row r="667" spans="1:16" ht="12.75">
      <c r="A667" s="45">
        <v>1672</v>
      </c>
      <c r="F667" s="34">
        <f>8.9790306325423*E667</f>
        <v>0</v>
      </c>
      <c r="I667" s="34"/>
      <c r="K667" s="34">
        <f>I667+J667</f>
        <v>0</v>
      </c>
      <c r="M667" s="34">
        <f>F667+L667</f>
        <v>0</v>
      </c>
      <c r="O667" s="4" t="e">
        <f>F667/M667</f>
        <v>#VALUE!</v>
      </c>
      <c r="P667" s="4" t="e">
        <f>L667/M667</f>
        <v>#VALUE!</v>
      </c>
    </row>
    <row r="668" spans="1:16" ht="12.75">
      <c r="A668" s="45">
        <v>1673</v>
      </c>
      <c r="F668" s="34">
        <f>8.9790306325423*E668</f>
        <v>0</v>
      </c>
      <c r="I668" s="34"/>
      <c r="K668" s="34">
        <f>I668+J668</f>
        <v>0</v>
      </c>
      <c r="M668" s="34">
        <f>F668+L668</f>
        <v>0</v>
      </c>
      <c r="O668" s="4" t="e">
        <f>F668/M668</f>
        <v>#VALUE!</v>
      </c>
      <c r="P668" s="4" t="e">
        <f>L668/M668</f>
        <v>#VALUE!</v>
      </c>
    </row>
    <row r="669" spans="1:16" ht="12.75">
      <c r="A669" s="45">
        <v>1674</v>
      </c>
      <c r="F669" s="34">
        <f>8.9790306325423*E669</f>
        <v>0</v>
      </c>
      <c r="I669" s="34"/>
      <c r="K669" s="34">
        <f>I669+J669</f>
        <v>0</v>
      </c>
      <c r="M669" s="34">
        <f>F669+L669</f>
        <v>0</v>
      </c>
      <c r="O669" s="4" t="e">
        <f>F669/M669</f>
        <v>#VALUE!</v>
      </c>
      <c r="P669" s="4" t="e">
        <f>L669/M669</f>
        <v>#VALUE!</v>
      </c>
    </row>
    <row r="670" spans="1:16" ht="12.75">
      <c r="A670" s="45">
        <v>1675</v>
      </c>
      <c r="F670" s="34">
        <f>8.9790306325423*E670</f>
        <v>0</v>
      </c>
      <c r="I670" s="34"/>
      <c r="K670" s="34">
        <f>I670+J670</f>
        <v>0</v>
      </c>
      <c r="M670" s="34">
        <f>F670+L670</f>
        <v>0</v>
      </c>
      <c r="O670" s="4" t="e">
        <f>F670/M670</f>
        <v>#VALUE!</v>
      </c>
      <c r="P670" s="4" t="e">
        <f>L670/M670</f>
        <v>#VALUE!</v>
      </c>
    </row>
    <row r="671" spans="1:16" ht="12.75">
      <c r="A671" s="45">
        <v>1676</v>
      </c>
      <c r="F671" s="34">
        <f>8.9790306325423*E671</f>
        <v>0</v>
      </c>
      <c r="I671" s="34"/>
      <c r="K671" s="34">
        <f>I671+J671</f>
        <v>0</v>
      </c>
      <c r="M671" s="34">
        <f>F671+L671</f>
        <v>0</v>
      </c>
      <c r="O671" s="4" t="e">
        <f>F671/M671</f>
        <v>#VALUE!</v>
      </c>
      <c r="P671" s="4" t="e">
        <f>L671/M671</f>
        <v>#VALUE!</v>
      </c>
    </row>
    <row r="672" spans="1:16" ht="12.75">
      <c r="A672" s="45">
        <v>1677</v>
      </c>
      <c r="F672" s="34">
        <f>8.9790306325423*E672</f>
        <v>0</v>
      </c>
      <c r="I672" s="34"/>
      <c r="K672" s="34">
        <f>I672+J672</f>
        <v>0</v>
      </c>
      <c r="M672" s="34">
        <f>F672+L672</f>
        <v>0</v>
      </c>
      <c r="O672" s="4" t="e">
        <f>F672/M672</f>
        <v>#VALUE!</v>
      </c>
      <c r="P672" s="4" t="e">
        <f>L672/M672</f>
        <v>#VALUE!</v>
      </c>
    </row>
    <row r="673" spans="1:16" ht="12.75">
      <c r="A673" s="45">
        <v>1678</v>
      </c>
      <c r="F673" s="34">
        <f>8.9790306325423*E673</f>
        <v>0</v>
      </c>
      <c r="I673" s="34"/>
      <c r="K673" s="34">
        <f>I673+J673</f>
        <v>0</v>
      </c>
      <c r="M673" s="34">
        <f>F673+L673</f>
        <v>0</v>
      </c>
      <c r="O673" s="4" t="e">
        <f>F673/M673</f>
        <v>#VALUE!</v>
      </c>
      <c r="P673" s="4" t="e">
        <f>L673/M673</f>
        <v>#VALUE!</v>
      </c>
    </row>
    <row r="674" spans="1:16" ht="12.75">
      <c r="A674" s="45">
        <v>1679</v>
      </c>
      <c r="F674" s="34">
        <f>8.9790306325423*E674</f>
        <v>0</v>
      </c>
      <c r="I674" s="34"/>
      <c r="K674" s="34">
        <f>I674+J674</f>
        <v>0</v>
      </c>
      <c r="M674" s="34">
        <f>F674+L674</f>
        <v>0</v>
      </c>
      <c r="O674" s="4" t="e">
        <f>F674/M674</f>
        <v>#VALUE!</v>
      </c>
      <c r="P674" s="4" t="e">
        <f>L674/M674</f>
        <v>#VALUE!</v>
      </c>
    </row>
    <row r="675" spans="1:16" ht="12.75">
      <c r="A675" s="45">
        <v>1680</v>
      </c>
      <c r="F675" s="34">
        <f>8.9790306325423*E675</f>
        <v>0</v>
      </c>
      <c r="I675" s="34"/>
      <c r="K675" s="34">
        <f>I675+J675</f>
        <v>0</v>
      </c>
      <c r="M675" s="34">
        <f>F675+L675</f>
        <v>0</v>
      </c>
      <c r="O675" s="4" t="e">
        <f>F675/M675</f>
        <v>#VALUE!</v>
      </c>
      <c r="P675" s="4" t="e">
        <f>L675/M675</f>
        <v>#VALUE!</v>
      </c>
    </row>
    <row r="676" spans="1:16" ht="12.75">
      <c r="A676" s="45">
        <v>1681</v>
      </c>
      <c r="F676" s="34">
        <f>8.9790306325423*E676</f>
        <v>0</v>
      </c>
      <c r="I676" s="34"/>
      <c r="K676" s="34">
        <f>I676+J676</f>
        <v>0</v>
      </c>
      <c r="M676" s="34">
        <f>F676+L676</f>
        <v>0</v>
      </c>
      <c r="O676" s="4" t="e">
        <f>F676/M676</f>
        <v>#VALUE!</v>
      </c>
      <c r="P676" s="4" t="e">
        <f>L676/M676</f>
        <v>#VALUE!</v>
      </c>
    </row>
    <row r="677" spans="1:16" ht="12.75">
      <c r="A677" s="45">
        <v>1682</v>
      </c>
      <c r="F677" s="34">
        <f>8.9790306325423*E677</f>
        <v>0</v>
      </c>
      <c r="I677" s="34"/>
      <c r="K677" s="34">
        <f>I677+J677</f>
        <v>0</v>
      </c>
      <c r="M677" s="34">
        <f>F677+L677</f>
        <v>0</v>
      </c>
      <c r="O677" s="4" t="e">
        <f>F677/M677</f>
        <v>#VALUE!</v>
      </c>
      <c r="P677" s="4" t="e">
        <f>L677/M677</f>
        <v>#VALUE!</v>
      </c>
    </row>
    <row r="678" spans="1:16" ht="12.75">
      <c r="A678" s="45">
        <v>1683</v>
      </c>
      <c r="F678" s="34">
        <f>8.9790306325423*E678</f>
        <v>0</v>
      </c>
      <c r="I678" s="34"/>
      <c r="K678" s="34">
        <f>I678+J678</f>
        <v>0</v>
      </c>
      <c r="M678" s="34">
        <f>F678+L678</f>
        <v>0</v>
      </c>
      <c r="O678" s="4" t="e">
        <f>F678/M678</f>
        <v>#VALUE!</v>
      </c>
      <c r="P678" s="4" t="e">
        <f>L678/M678</f>
        <v>#VALUE!</v>
      </c>
    </row>
    <row r="679" spans="1:16" ht="12.75">
      <c r="A679" s="45">
        <v>1684</v>
      </c>
      <c r="F679" s="34">
        <f>8.9790306325423*E679</f>
        <v>0</v>
      </c>
      <c r="I679" s="34"/>
      <c r="K679" s="34">
        <f>I679+J679</f>
        <v>0</v>
      </c>
      <c r="M679" s="34">
        <f>F679+L679</f>
        <v>0</v>
      </c>
      <c r="O679" s="4" t="e">
        <f>F679/M679</f>
        <v>#VALUE!</v>
      </c>
      <c r="P679" s="4" t="e">
        <f>L679/M679</f>
        <v>#VALUE!</v>
      </c>
    </row>
    <row r="680" spans="1:16" ht="12.75">
      <c r="A680" s="45">
        <v>1685</v>
      </c>
      <c r="F680" s="34">
        <f>8.9790306325423*E680</f>
        <v>0</v>
      </c>
      <c r="I680" s="34"/>
      <c r="K680" s="34">
        <f>I680+J680</f>
        <v>0</v>
      </c>
      <c r="M680" s="34">
        <f>F680+L680</f>
        <v>0</v>
      </c>
      <c r="O680" s="4" t="e">
        <f>F680/M680</f>
        <v>#VALUE!</v>
      </c>
      <c r="P680" s="4" t="e">
        <f>L680/M680</f>
        <v>#VALUE!</v>
      </c>
    </row>
    <row r="681" spans="1:16" ht="12.75">
      <c r="A681" s="45">
        <v>1686</v>
      </c>
      <c r="F681" s="34">
        <f>8.9790306325423*E681</f>
        <v>0</v>
      </c>
      <c r="I681" s="34"/>
      <c r="K681" s="34">
        <f>I681+J681</f>
        <v>0</v>
      </c>
      <c r="M681" s="34">
        <f>F681+L681</f>
        <v>0</v>
      </c>
      <c r="O681" s="4" t="e">
        <f>F681/M681</f>
        <v>#VALUE!</v>
      </c>
      <c r="P681" s="4" t="e">
        <f>L681/M681</f>
        <v>#VALUE!</v>
      </c>
    </row>
    <row r="682" spans="1:16" ht="12.75">
      <c r="A682" s="45">
        <v>1687</v>
      </c>
      <c r="F682" s="34">
        <f>8.9790306325423*E682</f>
        <v>0</v>
      </c>
      <c r="I682" s="34"/>
      <c r="K682" s="34">
        <f>I682+J682</f>
        <v>0</v>
      </c>
      <c r="M682" s="34">
        <f>F682+L682</f>
        <v>0</v>
      </c>
      <c r="O682" s="4" t="e">
        <f>F682/M682</f>
        <v>#VALUE!</v>
      </c>
      <c r="P682" s="4" t="e">
        <f>L682/M682</f>
        <v>#VALUE!</v>
      </c>
    </row>
    <row r="683" spans="1:16" ht="12.75">
      <c r="A683" s="45">
        <v>1688</v>
      </c>
      <c r="F683" s="34">
        <f>8.9790306325423*E683</f>
        <v>0</v>
      </c>
      <c r="I683" s="34"/>
      <c r="K683" s="34">
        <f>I683+J683</f>
        <v>0</v>
      </c>
      <c r="M683" s="34">
        <f>F683+L683</f>
        <v>0</v>
      </c>
      <c r="O683" s="4" t="e">
        <f>F683/M683</f>
        <v>#VALUE!</v>
      </c>
      <c r="P683" s="4" t="e">
        <f>L683/M683</f>
        <v>#VALUE!</v>
      </c>
    </row>
    <row r="684" spans="1:16" ht="12.75">
      <c r="A684" s="45">
        <v>1689</v>
      </c>
      <c r="F684" s="34">
        <f>8.9790306325423*E684</f>
        <v>0</v>
      </c>
      <c r="I684" s="34"/>
      <c r="K684" s="34">
        <f>I684+J684</f>
        <v>0</v>
      </c>
      <c r="M684" s="34">
        <f>F684+L684</f>
        <v>0</v>
      </c>
      <c r="O684" s="4" t="e">
        <f>F684/M684</f>
        <v>#VALUE!</v>
      </c>
      <c r="P684" s="4" t="e">
        <f>L684/M684</f>
        <v>#VALUE!</v>
      </c>
    </row>
    <row r="685" spans="1:16" ht="12.75">
      <c r="A685" s="45">
        <v>1690</v>
      </c>
      <c r="F685" s="34">
        <f>8.9790306325423*E685</f>
        <v>0</v>
      </c>
      <c r="I685" s="34"/>
      <c r="K685" s="34">
        <f>I685+J685</f>
        <v>0</v>
      </c>
      <c r="M685" s="34">
        <f>F685+L685</f>
        <v>0</v>
      </c>
      <c r="O685" s="4" t="e">
        <f>F685/M685</f>
        <v>#VALUE!</v>
      </c>
      <c r="P685" s="4" t="e">
        <f>L685/M685</f>
        <v>#VALUE!</v>
      </c>
    </row>
    <row r="686" spans="1:16" ht="12.75">
      <c r="A686" s="45">
        <v>1691</v>
      </c>
      <c r="F686" s="34">
        <f>8.9790306325423*E686</f>
        <v>0</v>
      </c>
      <c r="I686" s="34"/>
      <c r="K686" s="34">
        <f>I686+J686</f>
        <v>0</v>
      </c>
      <c r="M686" s="34">
        <f>F686+L686</f>
        <v>0</v>
      </c>
      <c r="O686" s="4" t="e">
        <f>F686/M686</f>
        <v>#VALUE!</v>
      </c>
      <c r="P686" s="4" t="e">
        <f>L686/M686</f>
        <v>#VALUE!</v>
      </c>
    </row>
    <row r="687" spans="1:16" ht="12.75">
      <c r="A687" s="45">
        <v>1692</v>
      </c>
      <c r="F687" s="34">
        <f>8.9790306325423*E687</f>
        <v>0</v>
      </c>
      <c r="I687" s="34"/>
      <c r="K687" s="34">
        <f>I687+J687</f>
        <v>0</v>
      </c>
      <c r="M687" s="34">
        <f>F687+L687</f>
        <v>0</v>
      </c>
      <c r="O687" s="4" t="e">
        <f>F687/M687</f>
        <v>#VALUE!</v>
      </c>
      <c r="P687" s="4" t="e">
        <f>L687/M687</f>
        <v>#VALUE!</v>
      </c>
    </row>
    <row r="688" spans="1:16" ht="12.75">
      <c r="A688" s="45">
        <v>1693</v>
      </c>
      <c r="F688" s="34">
        <f>8.9790306325423*E688</f>
        <v>0</v>
      </c>
      <c r="I688" s="34"/>
      <c r="K688" s="34">
        <f>I688+J688</f>
        <v>0</v>
      </c>
      <c r="M688" s="34">
        <f>F688+L688</f>
        <v>0</v>
      </c>
      <c r="O688" s="4" t="e">
        <f>F688/M688</f>
        <v>#VALUE!</v>
      </c>
      <c r="P688" s="4" t="e">
        <f>L688/M688</f>
        <v>#VALUE!</v>
      </c>
    </row>
    <row r="689" spans="1:16" ht="12.75">
      <c r="A689" s="45">
        <v>1694</v>
      </c>
      <c r="F689" s="34">
        <f>8.9790306325423*E689</f>
        <v>0</v>
      </c>
      <c r="I689" s="34"/>
      <c r="K689" s="34">
        <f>I689+J689</f>
        <v>0</v>
      </c>
      <c r="M689" s="34">
        <f>F689+L689</f>
        <v>0</v>
      </c>
      <c r="O689" s="4" t="e">
        <f>F689/M689</f>
        <v>#VALUE!</v>
      </c>
      <c r="P689" s="4" t="e">
        <f>L689/M689</f>
        <v>#VALUE!</v>
      </c>
    </row>
    <row r="690" spans="1:16" ht="12.75">
      <c r="A690" s="45">
        <v>1695</v>
      </c>
      <c r="F690" s="34">
        <f>8.9790306325423*E690</f>
        <v>0</v>
      </c>
      <c r="I690" s="34"/>
      <c r="K690" s="34">
        <f>I690+J690</f>
        <v>0</v>
      </c>
      <c r="M690" s="34">
        <f>F690+L690</f>
        <v>0</v>
      </c>
      <c r="O690" s="4" t="e">
        <f>F690/M690</f>
        <v>#VALUE!</v>
      </c>
      <c r="P690" s="4" t="e">
        <f>L690/M690</f>
        <v>#VALUE!</v>
      </c>
    </row>
    <row r="691" spans="1:16" ht="12.75">
      <c r="A691" s="45">
        <v>1696</v>
      </c>
      <c r="F691" s="34">
        <f>8.9790306325423*E691</f>
        <v>0</v>
      </c>
      <c r="I691" s="34"/>
      <c r="K691" s="34">
        <f>I691+J691</f>
        <v>0</v>
      </c>
      <c r="M691" s="34">
        <f>F691+L691</f>
        <v>0</v>
      </c>
      <c r="O691" s="4" t="e">
        <f>F691/M691</f>
        <v>#VALUE!</v>
      </c>
      <c r="P691" s="4" t="e">
        <f>L691/M691</f>
        <v>#VALUE!</v>
      </c>
    </row>
    <row r="692" spans="1:16" ht="12.75">
      <c r="A692" s="45">
        <v>1697</v>
      </c>
      <c r="F692" s="34">
        <f>8.9790306325423*E692</f>
        <v>0</v>
      </c>
      <c r="I692" s="34"/>
      <c r="K692" s="34">
        <f>I692+J692</f>
        <v>0</v>
      </c>
      <c r="M692" s="34">
        <f>F692+L692</f>
        <v>0</v>
      </c>
      <c r="O692" s="4" t="e">
        <f>F692/M692</f>
        <v>#VALUE!</v>
      </c>
      <c r="P692" s="4" t="e">
        <f>L692/M692</f>
        <v>#VALUE!</v>
      </c>
    </row>
    <row r="693" spans="1:16" ht="12.75">
      <c r="A693" s="45">
        <v>1698</v>
      </c>
      <c r="F693" s="34">
        <f>8.9790306325423*E693</f>
        <v>0</v>
      </c>
      <c r="I693" s="34"/>
      <c r="K693" s="34">
        <f>I693+J693</f>
        <v>0</v>
      </c>
      <c r="M693" s="34">
        <f>F693+L693</f>
        <v>0</v>
      </c>
      <c r="O693" s="4" t="e">
        <f>F693/M693</f>
        <v>#VALUE!</v>
      </c>
      <c r="P693" s="4" t="e">
        <f>L693/M693</f>
        <v>#VALUE!</v>
      </c>
    </row>
    <row r="694" spans="1:16" ht="12.75">
      <c r="A694" s="45">
        <v>1699</v>
      </c>
      <c r="F694" s="34">
        <f>8.9790306325423*E694</f>
        <v>0</v>
      </c>
      <c r="I694" s="34"/>
      <c r="K694" s="34">
        <f>I694+J694</f>
        <v>0</v>
      </c>
      <c r="M694" s="34">
        <f>F694+L694</f>
        <v>0</v>
      </c>
      <c r="O694" s="4" t="e">
        <f>F694/M694</f>
        <v>#VALUE!</v>
      </c>
      <c r="P694" s="4" t="e">
        <f>L694/M694</f>
        <v>#VALUE!</v>
      </c>
    </row>
    <row r="695" spans="1:16" ht="12.75">
      <c r="A695" s="45">
        <v>1700</v>
      </c>
      <c r="F695" s="34">
        <f>8.9790306325423*E695</f>
        <v>0</v>
      </c>
      <c r="I695" s="34"/>
      <c r="K695" s="34">
        <f>I695+J695</f>
        <v>0</v>
      </c>
      <c r="M695" s="34">
        <f>F695+L695</f>
        <v>0</v>
      </c>
      <c r="O695" s="4" t="e">
        <f>F695/M695</f>
        <v>#VALUE!</v>
      </c>
      <c r="P695" s="4" t="e">
        <f>L695/M695</f>
        <v>#VALUE!</v>
      </c>
    </row>
    <row r="696" spans="1:16" ht="12.75">
      <c r="A696" s="45">
        <v>1701</v>
      </c>
      <c r="F696" s="34">
        <f>8.9790306325423*E696</f>
        <v>0</v>
      </c>
      <c r="I696" s="34"/>
      <c r="K696" s="34"/>
      <c r="M696" s="34"/>
      <c r="O696" s="4"/>
      <c r="P696" s="4"/>
    </row>
    <row r="697" spans="1:16" ht="12.75">
      <c r="A697" s="45">
        <v>1702</v>
      </c>
      <c r="F697" s="34">
        <f>8.9790306325423*E697</f>
        <v>0</v>
      </c>
      <c r="I697" s="34"/>
      <c r="K697" s="34"/>
      <c r="M697" s="34"/>
      <c r="O697" s="4"/>
      <c r="P697" s="4"/>
    </row>
    <row r="698" spans="1:16" ht="12.75">
      <c r="A698" s="45">
        <v>1703</v>
      </c>
      <c r="F698" s="34">
        <f>8.9790306325423*E698</f>
        <v>0</v>
      </c>
      <c r="I698" s="34"/>
      <c r="K698" s="34"/>
      <c r="M698" s="34"/>
      <c r="O698" s="4"/>
      <c r="P698" s="4"/>
    </row>
    <row r="699" spans="1:16" ht="12.75">
      <c r="A699" s="45">
        <v>1704</v>
      </c>
      <c r="F699" s="34">
        <f>8.9790306325423*E699</f>
        <v>0</v>
      </c>
      <c r="I699" s="34"/>
      <c r="K699" s="34"/>
      <c r="M699" s="34"/>
      <c r="O699" s="4"/>
      <c r="P699" s="4"/>
    </row>
    <row r="700" spans="1:16" ht="12.75">
      <c r="A700" s="45">
        <v>1705</v>
      </c>
      <c r="F700" s="34">
        <f>8.9790306325423*E700</f>
        <v>0</v>
      </c>
      <c r="I700" s="34"/>
      <c r="K700" s="34"/>
      <c r="M700" s="34"/>
      <c r="O700" s="4"/>
      <c r="P700" s="4"/>
    </row>
    <row r="701" spans="1:16" ht="12.75">
      <c r="A701" s="45">
        <v>1706</v>
      </c>
      <c r="F701" s="34">
        <f>8.9790306325423*E701</f>
        <v>0</v>
      </c>
      <c r="I701" s="34"/>
      <c r="K701" s="34"/>
      <c r="M701" s="34"/>
      <c r="O701" s="4"/>
      <c r="P701" s="4"/>
    </row>
    <row r="702" spans="1:16" ht="12.75">
      <c r="A702" s="45">
        <v>1707</v>
      </c>
      <c r="F702" s="34">
        <f>8.9790306325423*E702</f>
        <v>0</v>
      </c>
      <c r="I702" s="34"/>
      <c r="K702" s="34"/>
      <c r="M702" s="34"/>
      <c r="O702" s="4"/>
      <c r="P702" s="4"/>
    </row>
    <row r="703" spans="1:16" ht="12.75">
      <c r="A703" s="45">
        <v>1708</v>
      </c>
      <c r="F703" s="34">
        <f>8.9790306325423*E703</f>
        <v>0</v>
      </c>
      <c r="I703" s="34"/>
      <c r="K703" s="34"/>
      <c r="M703" s="34"/>
      <c r="O703" s="4"/>
      <c r="P703" s="4"/>
    </row>
    <row r="704" spans="1:16" ht="12.75">
      <c r="A704" s="45">
        <v>1709</v>
      </c>
      <c r="F704" s="34">
        <f>8.9790306325423*E704</f>
        <v>0</v>
      </c>
      <c r="I704" s="34"/>
      <c r="K704" s="34"/>
      <c r="M704" s="34"/>
      <c r="O704" s="4"/>
      <c r="P704" s="4"/>
    </row>
    <row r="705" spans="1:16" ht="12.75">
      <c r="A705" s="45">
        <v>1710</v>
      </c>
      <c r="F705" s="34">
        <f>8.9790306325423*E705</f>
        <v>0</v>
      </c>
      <c r="I705" s="34"/>
      <c r="K705" s="34"/>
      <c r="M705" s="34"/>
      <c r="O705" s="4"/>
      <c r="P705" s="4"/>
    </row>
    <row r="706" spans="1:16" ht="12.75">
      <c r="A706" s="45">
        <v>1711</v>
      </c>
      <c r="F706" s="34">
        <f>8.9790306325423*E706</f>
        <v>0</v>
      </c>
      <c r="I706" s="34"/>
      <c r="K706" s="34"/>
      <c r="M706" s="34"/>
      <c r="O706" s="4"/>
      <c r="P706" s="4"/>
    </row>
    <row r="707" spans="1:16" ht="12.75">
      <c r="A707" s="45">
        <v>1712</v>
      </c>
      <c r="F707" s="34">
        <f>8.9790306325423*E707</f>
        <v>0</v>
      </c>
      <c r="I707" s="34"/>
      <c r="K707" s="34"/>
      <c r="M707" s="34"/>
      <c r="O707" s="4"/>
      <c r="P707" s="4"/>
    </row>
    <row r="708" spans="1:16" ht="12.75">
      <c r="A708" s="45">
        <v>1713</v>
      </c>
      <c r="F708" s="34">
        <f>8.9790306325423*E708</f>
        <v>0</v>
      </c>
      <c r="I708" s="34"/>
      <c r="K708" s="34"/>
      <c r="M708" s="34"/>
      <c r="O708" s="4"/>
      <c r="P708" s="4"/>
    </row>
    <row r="709" spans="1:16" ht="12.75">
      <c r="A709" s="45">
        <v>1714</v>
      </c>
      <c r="F709" s="34">
        <f>8.9790306325423*E709</f>
        <v>0</v>
      </c>
      <c r="I709" s="34"/>
      <c r="K709" s="34"/>
      <c r="M709" s="34"/>
      <c r="O709" s="4"/>
      <c r="P709" s="4"/>
    </row>
    <row r="710" spans="1:6" ht="12.75">
      <c r="A710" s="45">
        <v>1715</v>
      </c>
      <c r="F710" s="34">
        <f>8.9790306325423*E710</f>
        <v>0</v>
      </c>
    </row>
    <row r="711" spans="1:6" ht="12.75">
      <c r="A711" s="45">
        <v>1716</v>
      </c>
      <c r="F711" s="34">
        <f>8.9790306325423*E711</f>
        <v>0</v>
      </c>
    </row>
    <row r="712" spans="1:6" ht="12.75">
      <c r="A712" s="45">
        <v>1717</v>
      </c>
      <c r="F712" s="34">
        <f>8.9790306325423*E712</f>
        <v>0</v>
      </c>
    </row>
    <row r="713" spans="1:6" ht="12.75">
      <c r="A713" s="45">
        <v>1718</v>
      </c>
      <c r="F713" s="34">
        <f>8.9790306325423*E713</f>
        <v>0</v>
      </c>
    </row>
    <row r="714" spans="1:6" ht="12.75">
      <c r="A714" s="45">
        <v>1719</v>
      </c>
      <c r="F714" s="34">
        <f>8.9790306325423*E714</f>
        <v>0</v>
      </c>
    </row>
    <row r="715" spans="1:6" ht="12.75">
      <c r="A715" s="45">
        <v>1720</v>
      </c>
      <c r="F715" s="34">
        <f>8.9790306325423*E715</f>
        <v>0</v>
      </c>
    </row>
    <row r="716" spans="1:6" ht="12.75">
      <c r="A716" s="45">
        <v>1721</v>
      </c>
      <c r="F716" s="34">
        <f>8.9790306325423*E716</f>
        <v>0</v>
      </c>
    </row>
    <row r="717" spans="1:6" ht="12.75">
      <c r="A717" s="45">
        <v>1722</v>
      </c>
      <c r="F717" s="34">
        <f>8.9790306325423*E717</f>
        <v>0</v>
      </c>
    </row>
    <row r="718" spans="1:6" ht="12.75">
      <c r="A718" s="45">
        <v>1723</v>
      </c>
      <c r="F718" s="34">
        <f>8.9790306325423*E718</f>
        <v>0</v>
      </c>
    </row>
    <row r="719" spans="1:6" ht="12.75">
      <c r="A719" s="45"/>
      <c r="F719" s="34"/>
    </row>
    <row r="720" spans="1:6" ht="12.75">
      <c r="A720" s="45"/>
      <c r="F720" s="34"/>
    </row>
    <row r="721" spans="1:6" ht="12.75">
      <c r="A721" s="45"/>
      <c r="F721" s="34"/>
    </row>
    <row r="722" spans="1:6" ht="12.75">
      <c r="A722" s="45"/>
      <c r="F722" s="34"/>
    </row>
    <row r="723" spans="1:6" ht="12.75">
      <c r="A723" s="45"/>
      <c r="F723" s="34"/>
    </row>
    <row r="724" spans="1:6" ht="12.75">
      <c r="A724" s="45"/>
      <c r="F724" s="34"/>
    </row>
    <row r="725" spans="1:6" ht="12.75">
      <c r="A725" s="45"/>
      <c r="F725" s="34"/>
    </row>
    <row r="726" spans="1:6" ht="12.75">
      <c r="A726" s="45"/>
      <c r="F726" s="34"/>
    </row>
    <row r="727" spans="1:6" ht="12.75">
      <c r="A727" s="45"/>
      <c r="F727" s="34"/>
    </row>
    <row r="728" spans="1:6" ht="12.75">
      <c r="A728" s="45"/>
      <c r="F728" s="34"/>
    </row>
    <row r="729" spans="1:6" ht="12.75">
      <c r="A729" s="45"/>
      <c r="F729" s="34"/>
    </row>
    <row r="730" spans="1:6" ht="12.75">
      <c r="A730" s="45"/>
      <c r="F730" s="34"/>
    </row>
    <row r="731" spans="1:6" ht="12.75">
      <c r="A731" s="45"/>
      <c r="F731" s="34"/>
    </row>
    <row r="732" spans="1:6" ht="12.75">
      <c r="A732" s="45"/>
      <c r="F732" s="34"/>
    </row>
    <row r="733" spans="1:6" ht="12.75">
      <c r="A733" s="45"/>
      <c r="F733" s="34"/>
    </row>
    <row r="734" spans="1:6" ht="12.75">
      <c r="A734" s="45"/>
      <c r="F734" s="34"/>
    </row>
    <row r="735" spans="1:6" ht="12.75">
      <c r="A735" s="45"/>
      <c r="F735" s="34"/>
    </row>
    <row r="736" spans="1:6" ht="12.75">
      <c r="A736" s="45"/>
      <c r="F736" s="34"/>
    </row>
    <row r="737" spans="1:6" ht="12.75">
      <c r="A737" s="45"/>
      <c r="F737" s="34"/>
    </row>
    <row r="738" spans="1:6" ht="12.75">
      <c r="A738" s="45"/>
      <c r="F738" s="34"/>
    </row>
    <row r="739" spans="1:6" ht="12.75">
      <c r="A739" s="45"/>
      <c r="F739" s="34"/>
    </row>
    <row r="740" spans="1:6" ht="12.75">
      <c r="A740" s="45"/>
      <c r="F740" s="34"/>
    </row>
    <row r="741" spans="1:6" ht="12.75">
      <c r="A741" s="45"/>
      <c r="F741" s="34"/>
    </row>
    <row r="742" spans="1:6" ht="12.75">
      <c r="A742" s="45"/>
      <c r="F742" s="34"/>
    </row>
    <row r="743" spans="1:6" ht="12.75">
      <c r="A743" s="45"/>
      <c r="F743" s="34"/>
    </row>
    <row r="744" spans="1:6" ht="12.75">
      <c r="A744" s="45"/>
      <c r="F744" s="34"/>
    </row>
    <row r="745" spans="1:6" ht="12.75">
      <c r="A745" s="45"/>
      <c r="F745" s="34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H64"/>
  <sheetViews>
    <sheetView defaultGridColor="0" zoomScale="90" zoomScaleNormal="90" colorId="0" workbookViewId="0" topLeftCell="A1">
      <pane xSplit="1" ySplit="7" topLeftCell="B8" activePane="bottomRight" state="frozen"/>
      <selection pane="bottomRight" activeCell="B8" sqref="B8"/>
    </sheetView>
  </sheetViews>
  <sheetFormatPr defaultColWidth="9.140625" defaultRowHeight="12.75"/>
  <cols>
    <col min="1" max="1" width="8.421875" style="53" customWidth="1"/>
    <col min="2" max="2" width="10.7109375" style="0" customWidth="1"/>
    <col min="3" max="3" width="11.7109375" style="0" customWidth="1"/>
    <col min="4" max="4" width="9.7109375" style="0" customWidth="1"/>
    <col min="5" max="6" width="11.7109375" style="0" customWidth="1"/>
    <col min="7" max="8" width="8.421875" style="57" customWidth="1"/>
  </cols>
  <sheetData>
    <row r="1" spans="1:8" ht="12.75">
      <c r="A1" s="54" t="s">
        <v>290</v>
      </c>
      <c r="B1" s="35" t="s">
        <v>2</v>
      </c>
      <c r="C1" s="34"/>
      <c r="D1" s="34"/>
      <c r="E1" s="34"/>
      <c r="F1" s="34"/>
      <c r="G1" s="57"/>
      <c r="H1" s="57"/>
    </row>
    <row r="2" spans="1:8" ht="12.75">
      <c r="A2" s="53"/>
      <c r="B2" s="37" t="s">
        <v>225</v>
      </c>
      <c r="C2" s="34"/>
      <c r="D2" s="34"/>
      <c r="E2" s="34"/>
      <c r="F2" s="34"/>
      <c r="G2" s="57"/>
      <c r="H2" s="57"/>
    </row>
    <row r="3" spans="1:8" ht="12.75">
      <c r="A3" s="53"/>
      <c r="G3" s="57"/>
      <c r="H3" s="57"/>
    </row>
    <row r="4" spans="1:8" ht="12.75">
      <c r="A4" s="55"/>
      <c r="B4" s="37" t="s">
        <v>283</v>
      </c>
      <c r="C4" s="37" t="s">
        <v>283</v>
      </c>
      <c r="D4" s="35" t="s">
        <v>200</v>
      </c>
      <c r="E4" s="35" t="s">
        <v>200</v>
      </c>
      <c r="F4" s="35" t="s">
        <v>297</v>
      </c>
      <c r="G4" s="5" t="s">
        <v>266</v>
      </c>
      <c r="H4" s="5" t="s">
        <v>266</v>
      </c>
    </row>
    <row r="5" spans="1:8" ht="12.75">
      <c r="A5" s="55" t="s">
        <v>317</v>
      </c>
      <c r="B5" s="35" t="s">
        <v>296</v>
      </c>
      <c r="C5" s="35" t="s">
        <v>307</v>
      </c>
      <c r="D5" s="35" t="s">
        <v>296</v>
      </c>
      <c r="E5" s="35" t="s">
        <v>307</v>
      </c>
      <c r="F5" s="35" t="s">
        <v>312</v>
      </c>
      <c r="G5" s="5" t="s">
        <v>282</v>
      </c>
      <c r="H5" s="5" t="s">
        <v>198</v>
      </c>
    </row>
    <row r="6" spans="1:8" ht="12.75">
      <c r="A6" s="55"/>
      <c r="B6" s="35" t="s">
        <v>239</v>
      </c>
      <c r="C6" s="35" t="s">
        <v>8</v>
      </c>
      <c r="D6" s="35" t="s">
        <v>239</v>
      </c>
      <c r="E6" s="35" t="s">
        <v>8</v>
      </c>
      <c r="F6" s="35" t="s">
        <v>4</v>
      </c>
      <c r="G6" s="57"/>
      <c r="H6" s="57"/>
    </row>
    <row r="7" spans="1:8" ht="12.75">
      <c r="A7" s="53"/>
      <c r="G7" s="57"/>
      <c r="H7" s="57"/>
    </row>
    <row r="8" spans="1:8" ht="12.75">
      <c r="A8" s="55" t="s">
        <v>67</v>
      </c>
      <c r="B8" s="36">
        <v>6858.607800000001</v>
      </c>
      <c r="C8" s="36">
        <v>31785.107165360147</v>
      </c>
      <c r="D8" s="36">
        <v>599.4784</v>
      </c>
      <c r="E8" s="36">
        <v>28703.069015664612</v>
      </c>
      <c r="F8" s="36">
        <v>60488.17618102477</v>
      </c>
      <c r="G8" s="57">
        <v>0.5254763686416318</v>
      </c>
      <c r="H8" s="57">
        <v>0.474523631358368</v>
      </c>
    </row>
    <row r="9" spans="1:8" ht="12.75">
      <c r="A9" s="55" t="s">
        <v>70</v>
      </c>
      <c r="B9" s="36">
        <v>8059.545</v>
      </c>
      <c r="C9" s="36">
        <v>37350.65613885117</v>
      </c>
      <c r="D9" s="36">
        <v>220.7846</v>
      </c>
      <c r="E9" s="36">
        <v>10571.18256703812</v>
      </c>
      <c r="F9" s="36">
        <v>47921.83870588929</v>
      </c>
      <c r="G9" s="57">
        <v>0.7794078263165851</v>
      </c>
      <c r="H9" s="57">
        <v>0.2205921736834148</v>
      </c>
    </row>
    <row r="10" spans="1:8" ht="12.75">
      <c r="A10" s="55" t="s">
        <v>71</v>
      </c>
      <c r="B10" s="36">
        <v>977.0247999999999</v>
      </c>
      <c r="C10" s="36">
        <v>4527.863216090963</v>
      </c>
      <c r="D10" s="36">
        <v>132.2742</v>
      </c>
      <c r="E10" s="36">
        <v>6333.298233250479</v>
      </c>
      <c r="F10" s="36">
        <v>10861.161449341444</v>
      </c>
      <c r="G10" s="57">
        <v>0.41688572969012494</v>
      </c>
      <c r="H10" s="57">
        <v>0.5831142703098748</v>
      </c>
    </row>
    <row r="11" spans="1:8" ht="12.75">
      <c r="A11" s="55" t="s">
        <v>73</v>
      </c>
      <c r="B11" s="36">
        <v>130.6998</v>
      </c>
      <c r="C11" s="36">
        <v>605.7070575592818</v>
      </c>
      <c r="D11" s="36">
        <v>90.7782</v>
      </c>
      <c r="E11" s="36">
        <v>4346.466761300833</v>
      </c>
      <c r="F11" s="36">
        <v>4952.173818860116</v>
      </c>
      <c r="G11" s="57">
        <v>0.12231134845317336</v>
      </c>
      <c r="H11" s="57">
        <v>0.8776886515468265</v>
      </c>
    </row>
    <row r="12" spans="1:8" ht="12.75">
      <c r="A12" s="55" t="s">
        <v>74</v>
      </c>
      <c r="B12" s="36">
        <v>517.3729999999999</v>
      </c>
      <c r="C12" s="36">
        <v>2397.681385056582</v>
      </c>
      <c r="D12" s="36">
        <v>64.3362</v>
      </c>
      <c r="E12" s="36">
        <v>3080.4218947765285</v>
      </c>
      <c r="F12" s="36">
        <v>5478.10327983311</v>
      </c>
      <c r="G12" s="57">
        <v>0.4376845894606111</v>
      </c>
      <c r="H12" s="57">
        <v>0.5623154105393889</v>
      </c>
    </row>
    <row r="13" spans="1:8" ht="12.75">
      <c r="A13" s="55"/>
      <c r="B13" s="34"/>
      <c r="C13" s="34"/>
      <c r="D13" s="34"/>
      <c r="E13" s="34"/>
      <c r="F13" s="34"/>
      <c r="G13" s="57"/>
      <c r="H13" s="57"/>
    </row>
    <row r="14" spans="1:8" ht="12.75">
      <c r="A14" s="55" t="s">
        <v>68</v>
      </c>
      <c r="B14" s="34">
        <f>AVERAGE(B8:B13)</f>
        <v>3308.6500800000003</v>
      </c>
      <c r="C14" s="34">
        <f>AVERAGE(C8:C13)</f>
        <v>15333.402992583628</v>
      </c>
      <c r="D14" s="34">
        <f>AVERAGE(D8:D13)</f>
        <v>221.53032</v>
      </c>
      <c r="E14" s="34">
        <f>AVERAGE(E8:E13)</f>
        <v>10606.887694406114</v>
      </c>
      <c r="F14" s="34">
        <f>AVERAGE(F8:F13)</f>
        <v>25940.290686989745</v>
      </c>
      <c r="G14" s="57">
        <f>AVERAGE(G8:G13)</f>
        <v>0.45635317251242524</v>
      </c>
      <c r="H14" s="57">
        <f>AVERAGE(H8:H13)</f>
        <v>0.5436468274875746</v>
      </c>
    </row>
    <row r="15" spans="1:8" ht="12.75">
      <c r="A15" s="55"/>
      <c r="B15" s="34"/>
      <c r="C15" s="34"/>
      <c r="D15" s="34"/>
      <c r="E15" s="34"/>
      <c r="F15" s="34"/>
      <c r="G15" s="57"/>
      <c r="H15" s="57"/>
    </row>
    <row r="16" spans="1:8" ht="12.75">
      <c r="A16" s="55" t="s">
        <v>76</v>
      </c>
      <c r="B16" s="36">
        <v>1460.6368</v>
      </c>
      <c r="C16" s="36">
        <v>6769.084713907787</v>
      </c>
      <c r="D16" s="36">
        <v>63.525999999999996</v>
      </c>
      <c r="E16" s="36">
        <v>3041.629460359389</v>
      </c>
      <c r="F16" s="36">
        <v>9810.714174267177</v>
      </c>
      <c r="G16" s="57">
        <f>C16/F16</f>
        <v>0.6899685989897276</v>
      </c>
      <c r="H16" s="57">
        <f>E16/F16</f>
        <v>0.31003140101027227</v>
      </c>
    </row>
    <row r="17" spans="1:8" ht="12.75">
      <c r="A17" s="55" t="s">
        <v>78</v>
      </c>
      <c r="B17" s="36">
        <v>1415.0939999999998</v>
      </c>
      <c r="C17" s="36">
        <v>6558.023982514083</v>
      </c>
      <c r="D17" s="36">
        <v>26.718600000000002</v>
      </c>
      <c r="E17" s="36">
        <v>1279.2884944677514</v>
      </c>
      <c r="F17" s="36">
        <v>7837.312476981834</v>
      </c>
      <c r="G17" s="57">
        <v>0.8367694923195907</v>
      </c>
      <c r="H17" s="57">
        <v>0.16323050768040936</v>
      </c>
    </row>
    <row r="18" spans="1:8" ht="12.75">
      <c r="A18" s="55" t="s">
        <v>80</v>
      </c>
      <c r="B18" s="36">
        <v>3432.9149999999995</v>
      </c>
      <c r="C18" s="36">
        <v>18067.3486275277</v>
      </c>
      <c r="D18" s="36">
        <v>488.1184</v>
      </c>
      <c r="E18" s="36">
        <v>29731.33058320179</v>
      </c>
      <c r="F18" s="36">
        <v>47798.67921072949</v>
      </c>
      <c r="G18" s="57">
        <v>0.37798844917606167</v>
      </c>
      <c r="H18" s="57">
        <v>0.6220115508239383</v>
      </c>
    </row>
    <row r="19" spans="1:8" ht="12.75">
      <c r="A19" s="55" t="s">
        <v>83</v>
      </c>
      <c r="B19" s="36">
        <v>5168.090399999999</v>
      </c>
      <c r="C19" s="36">
        <v>29938.347547054145</v>
      </c>
      <c r="D19" s="36">
        <v>1288.1566</v>
      </c>
      <c r="E19" s="36">
        <v>83263.99169721245</v>
      </c>
      <c r="F19" s="36">
        <v>113202.3392442666</v>
      </c>
      <c r="G19" s="57">
        <v>0.264467569724452</v>
      </c>
      <c r="H19" s="57">
        <v>0.735532430275548</v>
      </c>
    </row>
    <row r="20" spans="1:8" ht="12.75">
      <c r="A20" s="55" t="s">
        <v>85</v>
      </c>
      <c r="B20" s="36">
        <v>2422.654</v>
      </c>
      <c r="C20" s="36">
        <v>14034.24704766405</v>
      </c>
      <c r="D20" s="36">
        <v>538.6692</v>
      </c>
      <c r="E20" s="36">
        <v>34818.55218250954</v>
      </c>
      <c r="F20" s="36">
        <v>48852.799230173594</v>
      </c>
      <c r="G20" s="57">
        <v>0.28727621075592114</v>
      </c>
      <c r="H20" s="57">
        <v>0.7127237892440789</v>
      </c>
    </row>
    <row r="21" spans="1:8" ht="12.75">
      <c r="A21" s="55"/>
      <c r="B21" s="34"/>
      <c r="C21" s="34"/>
      <c r="D21" s="34"/>
      <c r="E21" s="34"/>
      <c r="F21" s="34"/>
      <c r="G21" s="57"/>
      <c r="H21" s="57"/>
    </row>
    <row r="22" spans="1:8" ht="12.75">
      <c r="A22" s="55" t="s">
        <v>77</v>
      </c>
      <c r="B22" s="34">
        <f>AVERAGE(B16:B21)</f>
        <v>2779.87804</v>
      </c>
      <c r="C22" s="34">
        <f>AVERAGE(C16:C21)</f>
        <v>15073.410383733551</v>
      </c>
      <c r="D22" s="34">
        <f>AVERAGE(D16:D21)</f>
        <v>481.03776</v>
      </c>
      <c r="E22" s="34">
        <f>AVERAGE(E16:E21)</f>
        <v>30426.958483550185</v>
      </c>
      <c r="F22" s="34">
        <f>AVERAGE(F16:F21)</f>
        <v>45500.36886728373</v>
      </c>
      <c r="G22" s="57">
        <f>AVERAGE(G16:G21)</f>
        <v>0.4912940641931506</v>
      </c>
      <c r="H22" s="57">
        <f>AVERAGE(H16:H21)</f>
        <v>0.5087059358068494</v>
      </c>
    </row>
    <row r="23" spans="1:8" ht="12.75">
      <c r="A23" s="55"/>
      <c r="B23" s="34"/>
      <c r="C23" s="34"/>
      <c r="D23" s="34"/>
      <c r="E23" s="34"/>
      <c r="F23" s="34"/>
      <c r="G23" s="57"/>
      <c r="H23" s="57"/>
    </row>
    <row r="24" spans="1:8" ht="12.75">
      <c r="A24" s="55" t="s">
        <v>87</v>
      </c>
      <c r="B24" s="36">
        <v>834.6826000000001</v>
      </c>
      <c r="C24" s="36">
        <v>4835.251676379108</v>
      </c>
      <c r="D24" s="36">
        <v>404.477</v>
      </c>
      <c r="E24" s="36">
        <v>26144.623696927378</v>
      </c>
      <c r="F24" s="36">
        <v>30979.875373306488</v>
      </c>
      <c r="G24" s="57">
        <f>C24/F24</f>
        <v>0.15607718294907527</v>
      </c>
      <c r="H24" s="57">
        <f>E24/F24</f>
        <v>0.8439228170509246</v>
      </c>
    </row>
    <row r="25" spans="1:8" ht="12.75">
      <c r="A25" s="55" t="s">
        <v>89</v>
      </c>
      <c r="B25" s="36">
        <v>995.231</v>
      </c>
      <c r="C25" s="36">
        <v>5765.296127096044</v>
      </c>
      <c r="D25" s="36">
        <v>219.44879999999998</v>
      </c>
      <c r="E25" s="36">
        <v>14184.752895077534</v>
      </c>
      <c r="F25" s="36">
        <v>19950.049022173578</v>
      </c>
      <c r="G25" s="57">
        <v>0.28898656442839704</v>
      </c>
      <c r="H25" s="57">
        <v>0.711013435571603</v>
      </c>
    </row>
    <row r="26" spans="1:8" ht="12.75">
      <c r="A26" s="55" t="s">
        <v>90</v>
      </c>
      <c r="B26" s="36">
        <v>926.7850249999999</v>
      </c>
      <c r="C26" s="36">
        <v>5368.793893360547</v>
      </c>
      <c r="D26" s="36">
        <v>129.749025</v>
      </c>
      <c r="E26" s="36">
        <v>8386.730107443</v>
      </c>
      <c r="F26" s="36">
        <v>13755.524000803547</v>
      </c>
      <c r="G26" s="57">
        <v>0.3903009360491772</v>
      </c>
      <c r="H26" s="57">
        <v>0.6096990639508229</v>
      </c>
    </row>
    <row r="27" spans="1:8" ht="12.75">
      <c r="A27" s="55" t="s">
        <v>93</v>
      </c>
      <c r="B27" s="36">
        <v>1270.839775</v>
      </c>
      <c r="C27" s="36">
        <v>7361.876421621823</v>
      </c>
      <c r="D27" s="36">
        <v>268.982625</v>
      </c>
      <c r="E27" s="36">
        <v>17386.52509694428</v>
      </c>
      <c r="F27" s="36">
        <v>24748.401518566097</v>
      </c>
      <c r="G27" s="57">
        <v>0.29746876444116965</v>
      </c>
      <c r="H27" s="57">
        <v>0.7025312355588306</v>
      </c>
    </row>
    <row r="28" spans="1:8" ht="12.75">
      <c r="A28" s="55" t="s">
        <v>94</v>
      </c>
      <c r="B28" s="36">
        <v>2490.94</v>
      </c>
      <c r="C28" s="36">
        <v>14429.822558610636</v>
      </c>
      <c r="D28" s="36">
        <v>278.92587566895656</v>
      </c>
      <c r="E28" s="36">
        <v>18029.237901539076</v>
      </c>
      <c r="F28" s="36">
        <v>32459.06046014971</v>
      </c>
      <c r="G28" s="57">
        <v>0.44455453589996125</v>
      </c>
      <c r="H28" s="57">
        <v>0.5554454641000388</v>
      </c>
    </row>
    <row r="29" spans="1:8" ht="12.75">
      <c r="A29" s="55"/>
      <c r="B29" s="34"/>
      <c r="C29" s="34"/>
      <c r="D29" s="34"/>
      <c r="E29" s="34"/>
      <c r="F29" s="34"/>
      <c r="G29" s="57"/>
      <c r="H29" s="57"/>
    </row>
    <row r="30" spans="1:8" ht="12.75">
      <c r="A30" s="55" t="s">
        <v>86</v>
      </c>
      <c r="B30" s="34">
        <f>AVERAGE(B24:B29)</f>
        <v>1303.69568</v>
      </c>
      <c r="C30" s="34">
        <f>AVERAGE(C24:C29)</f>
        <v>7552.208135413632</v>
      </c>
      <c r="D30" s="34">
        <f>AVERAGE(D24:D29)</f>
        <v>260.31666513379133</v>
      </c>
      <c r="E30" s="34">
        <f>AVERAGE(E24:E29)</f>
        <v>16826.373939586254</v>
      </c>
      <c r="F30" s="34">
        <f>AVERAGE(F24:F29)</f>
        <v>24378.582074999886</v>
      </c>
      <c r="G30" s="57">
        <f>AVERAGE(G24:G29)</f>
        <v>0.315477596753556</v>
      </c>
      <c r="H30" s="57">
        <f>AVERAGE(H24:H29)</f>
        <v>0.684522403246444</v>
      </c>
    </row>
    <row r="31" spans="1:8" ht="12.75">
      <c r="A31" s="55"/>
      <c r="B31" s="34"/>
      <c r="C31" s="34"/>
      <c r="D31" s="34"/>
      <c r="E31" s="34"/>
      <c r="F31" s="34"/>
      <c r="G31" s="57"/>
      <c r="H31" s="57"/>
    </row>
    <row r="32" spans="1:8" ht="12.75">
      <c r="A32" s="55" t="s">
        <v>96</v>
      </c>
      <c r="B32" s="36">
        <v>4313.544</v>
      </c>
      <c r="C32" s="36">
        <v>24988.02641523262</v>
      </c>
      <c r="D32" s="36">
        <v>516.6035577073845</v>
      </c>
      <c r="E32" s="36">
        <v>33392.27104817697</v>
      </c>
      <c r="F32" s="36">
        <v>58380.2974634096</v>
      </c>
      <c r="G32" s="57">
        <v>0.42802156722298473</v>
      </c>
      <c r="H32" s="57">
        <v>0.571978432777015</v>
      </c>
    </row>
    <row r="33" spans="1:8" ht="12.75">
      <c r="A33" s="55" t="s">
        <v>98</v>
      </c>
      <c r="B33" s="36">
        <v>3633.2119999999995</v>
      </c>
      <c r="C33" s="36">
        <v>21046.91581403601</v>
      </c>
      <c r="D33" s="36">
        <v>1523.1151821296671</v>
      </c>
      <c r="E33" s="36">
        <v>98451.26739927648</v>
      </c>
      <c r="F33" s="36">
        <v>119498.1832133125</v>
      </c>
      <c r="G33" s="57">
        <v>0.17612749623536797</v>
      </c>
      <c r="H33" s="57">
        <v>0.823872503764632</v>
      </c>
    </row>
    <row r="34" spans="1:8" ht="12.75">
      <c r="A34" s="55" t="s">
        <v>100</v>
      </c>
      <c r="B34" s="36">
        <v>1089.0120000000002</v>
      </c>
      <c r="C34" s="36">
        <v>6308.56219908857</v>
      </c>
      <c r="D34" s="36">
        <v>694.5990924484996</v>
      </c>
      <c r="E34" s="36">
        <v>44897.56374847839</v>
      </c>
      <c r="F34" s="36">
        <v>51206.12594756696</v>
      </c>
      <c r="G34" s="57">
        <v>0.12319936496559587</v>
      </c>
      <c r="H34" s="57">
        <v>0.8768006350344041</v>
      </c>
    </row>
    <row r="35" spans="1:8" ht="12.75">
      <c r="A35" s="55" t="s">
        <v>101</v>
      </c>
      <c r="B35" s="36">
        <v>79.145</v>
      </c>
      <c r="C35" s="36">
        <v>458.4808571869409</v>
      </c>
      <c r="D35" s="36">
        <v>743.656</v>
      </c>
      <c r="E35" s="36">
        <v>48068.52987515087</v>
      </c>
      <c r="F35" s="36">
        <v>48527.01073233781</v>
      </c>
      <c r="G35" s="57">
        <v>0.00944795177505988</v>
      </c>
      <c r="H35" s="57">
        <v>0.99055204822494</v>
      </c>
    </row>
    <row r="36" spans="1:8" ht="12.75">
      <c r="A36" s="55" t="s">
        <v>103</v>
      </c>
      <c r="B36" s="36">
        <v>3148.2065000000002</v>
      </c>
      <c r="C36" s="36">
        <v>18237.31650415692</v>
      </c>
      <c r="D36" s="36">
        <v>442.135850010474</v>
      </c>
      <c r="E36" s="36">
        <v>28578.779755473057</v>
      </c>
      <c r="F36" s="36">
        <v>46816.09625962997</v>
      </c>
      <c r="G36" s="57">
        <v>0.38955226858338365</v>
      </c>
      <c r="H36" s="57">
        <v>0.6104477314166163</v>
      </c>
    </row>
    <row r="37" spans="1:8" ht="12.75">
      <c r="A37" s="55"/>
      <c r="B37" s="34"/>
      <c r="C37" s="34"/>
      <c r="D37" s="34"/>
      <c r="E37" s="34"/>
      <c r="F37" s="34"/>
      <c r="G37" s="57"/>
      <c r="H37" s="57"/>
    </row>
    <row r="38" spans="1:8" ht="12.75">
      <c r="A38" s="55" t="s">
        <v>97</v>
      </c>
      <c r="B38" s="34">
        <f>AVERAGE(B32:B37)</f>
        <v>2452.6239</v>
      </c>
      <c r="C38" s="34">
        <f>AVERAGE(C32:C37)</f>
        <v>14207.860357940212</v>
      </c>
      <c r="D38" s="34">
        <f>AVERAGE(D32:D37)</f>
        <v>784.021936459205</v>
      </c>
      <c r="E38" s="34">
        <f>AVERAGE(E32:E37)</f>
        <v>50677.68236531115</v>
      </c>
      <c r="F38" s="34">
        <f>AVERAGE(F32:F37)</f>
        <v>64885.542723251376</v>
      </c>
      <c r="G38" s="57">
        <f>AVERAGE(G32:G37)</f>
        <v>0.22526972975647844</v>
      </c>
      <c r="H38" s="57">
        <f>AVERAGE(H32:H37)</f>
        <v>0.7747302702435215</v>
      </c>
    </row>
    <row r="39" spans="1:8" ht="12.75">
      <c r="A39" s="55"/>
      <c r="B39" s="34"/>
      <c r="C39" s="34"/>
      <c r="D39" s="34"/>
      <c r="E39" s="34"/>
      <c r="F39" s="34"/>
      <c r="G39" s="57"/>
      <c r="H39" s="57"/>
    </row>
    <row r="40" spans="1:8" ht="12.75">
      <c r="A40" s="55" t="s">
        <v>107</v>
      </c>
      <c r="B40" s="36">
        <v>9244.7005</v>
      </c>
      <c r="C40" s="36">
        <v>60248.024971944185</v>
      </c>
      <c r="D40" s="36">
        <v>736.4216980422368</v>
      </c>
      <c r="E40" s="36">
        <v>54079.254896926825</v>
      </c>
      <c r="F40" s="36">
        <v>114327.279868871</v>
      </c>
      <c r="G40" s="57">
        <v>0.5269785570079718</v>
      </c>
      <c r="H40" s="57">
        <v>0.47302144299202825</v>
      </c>
    </row>
    <row r="41" spans="1:8" ht="12.75">
      <c r="A41" s="55" t="s">
        <v>110</v>
      </c>
      <c r="B41" s="36">
        <v>4616.832</v>
      </c>
      <c r="C41" s="36">
        <v>30088.07125642854</v>
      </c>
      <c r="D41" s="36">
        <v>189.15964849865358</v>
      </c>
      <c r="E41" s="36">
        <v>13890.97154669431</v>
      </c>
      <c r="F41" s="36">
        <v>43979.04280312285</v>
      </c>
      <c r="G41" s="57">
        <v>0.6841456598116786</v>
      </c>
      <c r="H41" s="57">
        <v>0.31585434018832137</v>
      </c>
    </row>
    <row r="42" spans="1:8" ht="12.75">
      <c r="A42" s="55" t="s">
        <v>112</v>
      </c>
      <c r="B42" s="36">
        <v>5684.093999999999</v>
      </c>
      <c r="C42" s="36">
        <v>37043.458653084606</v>
      </c>
      <c r="D42" s="36">
        <v>406.71882832504554</v>
      </c>
      <c r="E42" s="36">
        <v>29826.052098038275</v>
      </c>
      <c r="F42" s="36">
        <v>66869.5107511229</v>
      </c>
      <c r="G42" s="57">
        <v>0.5539663478465416</v>
      </c>
      <c r="H42" s="57">
        <v>0.4460336521534581</v>
      </c>
    </row>
    <row r="43" spans="1:8" ht="12.75">
      <c r="A43" s="55" t="s">
        <v>114</v>
      </c>
      <c r="B43" s="36">
        <v>5707.031999999999</v>
      </c>
      <c r="C43" s="36">
        <v>100776.32421749443</v>
      </c>
      <c r="D43" s="36">
        <v>963.7923382448059</v>
      </c>
      <c r="E43" s="36">
        <v>79997.50807499999</v>
      </c>
      <c r="F43" s="36">
        <v>180773.83229249442</v>
      </c>
      <c r="G43" s="57">
        <v>0.5574718582855345</v>
      </c>
      <c r="H43" s="57">
        <v>0.4425281417144655</v>
      </c>
    </row>
    <row r="44" spans="1:8" ht="12.75">
      <c r="A44" s="55" t="s">
        <v>119</v>
      </c>
      <c r="B44" s="36">
        <v>22029.731</v>
      </c>
      <c r="C44" s="36">
        <v>402892.43600000005</v>
      </c>
      <c r="D44" s="36">
        <v>1992.0834378125867</v>
      </c>
      <c r="E44" s="36">
        <v>188860.92199999996</v>
      </c>
      <c r="F44" s="36">
        <v>591753.358</v>
      </c>
      <c r="G44" s="57">
        <v>0.6808452044305933</v>
      </c>
      <c r="H44" s="57">
        <v>0.31915479556940674</v>
      </c>
    </row>
    <row r="45" spans="1:8" ht="12.75">
      <c r="A45" s="55"/>
      <c r="B45" s="34"/>
      <c r="C45" s="34"/>
      <c r="D45" s="34"/>
      <c r="E45" s="34"/>
      <c r="F45" s="34"/>
      <c r="G45" s="57"/>
      <c r="H45" s="57"/>
    </row>
    <row r="46" spans="1:8" ht="12.75">
      <c r="A46" s="55" t="s">
        <v>108</v>
      </c>
      <c r="B46" s="34">
        <f>AVERAGE(B40:B45)</f>
        <v>9456.4779</v>
      </c>
      <c r="C46" s="34">
        <f>AVERAGE(C40:C45)</f>
        <v>126209.66301979036</v>
      </c>
      <c r="D46" s="34">
        <f>AVERAGE(D40:D45)</f>
        <v>857.6351901846658</v>
      </c>
      <c r="E46" s="34">
        <f>AVERAGE(E40:E45)</f>
        <v>73330.94172333188</v>
      </c>
      <c r="F46" s="34">
        <f>AVERAGE(F40:F45)</f>
        <v>199540.60474312224</v>
      </c>
      <c r="G46" s="57">
        <f>AVERAGE(G40:G45)</f>
        <v>0.6006815254764639</v>
      </c>
      <c r="H46" s="57">
        <f>AVERAGE(H40:H45)</f>
        <v>0.39931847452353597</v>
      </c>
    </row>
    <row r="47" spans="1:8" ht="12.75">
      <c r="A47" s="55"/>
      <c r="B47" s="34"/>
      <c r="C47" s="34"/>
      <c r="D47" s="34"/>
      <c r="E47" s="34"/>
      <c r="F47" s="34"/>
      <c r="G47" s="57"/>
      <c r="H47" s="57"/>
    </row>
    <row r="48" spans="1:8" ht="12.75">
      <c r="A48" s="55" t="s">
        <v>126</v>
      </c>
      <c r="B48" s="36">
        <v>9428.8552</v>
      </c>
      <c r="C48" s="36">
        <v>121874.56899999999</v>
      </c>
      <c r="D48" s="36">
        <v>136.58274269205762</v>
      </c>
      <c r="E48" s="36">
        <v>16023.336480000002</v>
      </c>
      <c r="F48" s="36">
        <v>137897.90548000002</v>
      </c>
      <c r="G48" s="57">
        <f>C48/F48</f>
        <v>0.8838029016885687</v>
      </c>
      <c r="H48" s="57">
        <f>E48/F48</f>
        <v>0.11619709831143114</v>
      </c>
    </row>
    <row r="49" spans="1:8" ht="12.75">
      <c r="A49" s="55" t="s">
        <v>131</v>
      </c>
      <c r="B49" s="36">
        <v>4152.477499999999</v>
      </c>
      <c r="C49" s="36">
        <v>36023.66249999999</v>
      </c>
      <c r="D49" s="36">
        <v>137.53297653488508</v>
      </c>
      <c r="E49" s="36">
        <v>23955.866759999997</v>
      </c>
      <c r="F49" s="36">
        <v>59979.52926</v>
      </c>
      <c r="G49" s="57">
        <v>0.6005992868640928</v>
      </c>
      <c r="H49" s="57">
        <v>0.3994007131359069</v>
      </c>
    </row>
    <row r="50" spans="1:8" ht="12.75">
      <c r="A50" s="55" t="s">
        <v>136</v>
      </c>
      <c r="B50" s="36">
        <v>24263.302600000003</v>
      </c>
      <c r="C50" s="36">
        <v>210873.24748377758</v>
      </c>
      <c r="D50" s="36">
        <v>255.82783956574772</v>
      </c>
      <c r="E50" s="36">
        <v>24682.712450208757</v>
      </c>
      <c r="F50" s="36">
        <v>235555.95993398633</v>
      </c>
      <c r="G50" s="57">
        <v>0.895215079859894</v>
      </c>
      <c r="H50" s="57">
        <v>0.10478492014010596</v>
      </c>
    </row>
    <row r="51" spans="1:8" ht="12.75">
      <c r="A51" s="55" t="s">
        <v>137</v>
      </c>
      <c r="B51" s="36">
        <v>11097.4318</v>
      </c>
      <c r="C51" s="36">
        <v>96429.85168524098</v>
      </c>
      <c r="D51" s="36">
        <v>236.16042058685903</v>
      </c>
      <c r="E51" s="36">
        <v>22790.897136213433</v>
      </c>
      <c r="F51" s="36">
        <v>119220.74882145443</v>
      </c>
      <c r="G51" s="57">
        <v>0.808834474187499</v>
      </c>
      <c r="H51" s="57">
        <v>0.1911655258125009</v>
      </c>
    </row>
    <row r="52" spans="1:8" ht="12.75">
      <c r="A52" s="55" t="s">
        <v>139</v>
      </c>
      <c r="B52" s="36">
        <v>8806.1662</v>
      </c>
      <c r="C52" s="36">
        <v>76520.16393392769</v>
      </c>
      <c r="D52" s="36">
        <v>102.63319943361721</v>
      </c>
      <c r="E52" s="36">
        <v>9934.572303302484</v>
      </c>
      <c r="F52" s="36">
        <v>86454.73623723016</v>
      </c>
      <c r="G52" s="57">
        <v>0.8850893226249377</v>
      </c>
      <c r="H52" s="57">
        <v>0.11491067737506255</v>
      </c>
    </row>
    <row r="53" spans="1:8" ht="12.75">
      <c r="A53" s="55"/>
      <c r="B53" s="34"/>
      <c r="C53" s="34"/>
      <c r="D53" s="34"/>
      <c r="E53" s="34"/>
      <c r="F53" s="34"/>
      <c r="G53" s="57"/>
      <c r="H53" s="57"/>
    </row>
    <row r="54" spans="1:8" ht="12.75">
      <c r="A54" s="55" t="s">
        <v>127</v>
      </c>
      <c r="B54" s="34">
        <f>AVERAGE(B48:B53)</f>
        <v>11549.64666</v>
      </c>
      <c r="C54" s="34">
        <f>AVERAGE(C48:C53)</f>
        <v>108344.29892058924</v>
      </c>
      <c r="D54" s="34">
        <f>AVERAGE(D48:D53)</f>
        <v>173.7474357626333</v>
      </c>
      <c r="E54" s="34">
        <f>AVERAGE(E48:E53)</f>
        <v>19477.477025944936</v>
      </c>
      <c r="F54" s="34">
        <f>AVERAGE(F48:F53)</f>
        <v>127821.7759465342</v>
      </c>
      <c r="G54" s="57">
        <f>AVERAGE(G48:G53)</f>
        <v>0.8147082130449984</v>
      </c>
      <c r="H54" s="57">
        <f>AVERAGE(H48:H53)</f>
        <v>0.1852917869550015</v>
      </c>
    </row>
    <row r="55" spans="1:8" ht="12.75">
      <c r="A55" s="55"/>
      <c r="B55" s="34"/>
      <c r="C55" s="34"/>
      <c r="D55" s="34"/>
      <c r="E55" s="34"/>
      <c r="F55" s="34"/>
      <c r="G55" s="57"/>
      <c r="H55" s="57"/>
    </row>
    <row r="56" spans="1:8" ht="12.75">
      <c r="A56" s="55" t="s">
        <v>141</v>
      </c>
      <c r="B56" s="36">
        <v>8071.535000000001</v>
      </c>
      <c r="C56" s="36">
        <v>70489.33363192315</v>
      </c>
      <c r="D56" s="36">
        <v>76.19679298926587</v>
      </c>
      <c r="E56" s="36">
        <v>7416.22630875675</v>
      </c>
      <c r="F56" s="36">
        <v>77905.55994067989</v>
      </c>
      <c r="G56" s="57">
        <v>0.9048049161779502</v>
      </c>
      <c r="H56" s="57">
        <v>0.09519508382204984</v>
      </c>
    </row>
    <row r="57" spans="1:8" ht="12.75">
      <c r="A57" s="55" t="s">
        <v>145</v>
      </c>
      <c r="B57" s="36">
        <v>16056.314000000002</v>
      </c>
      <c r="C57" s="36">
        <v>139852.039164622</v>
      </c>
      <c r="D57" s="36">
        <v>337.31778164665093</v>
      </c>
      <c r="E57" s="36">
        <v>32770.994864131804</v>
      </c>
      <c r="F57" s="36">
        <v>172623.0340287538</v>
      </c>
      <c r="G57" s="57">
        <v>0.810158620785954</v>
      </c>
      <c r="H57" s="57">
        <v>0.18984137921404592</v>
      </c>
    </row>
    <row r="58" spans="1:8" ht="12.75">
      <c r="A58" s="55" t="s">
        <v>147</v>
      </c>
      <c r="B58" s="36">
        <v>6405.349399999999</v>
      </c>
      <c r="C58" s="36">
        <v>55658.54368522881</v>
      </c>
      <c r="D58" s="36">
        <v>185.2058399059643</v>
      </c>
      <c r="E58" s="36">
        <v>17957.030944032816</v>
      </c>
      <c r="F58" s="36">
        <v>73615.57462926162</v>
      </c>
      <c r="G58" s="57">
        <v>0.7560702197263698</v>
      </c>
      <c r="H58" s="57">
        <v>0.24392978027363024</v>
      </c>
    </row>
    <row r="59" spans="1:8" ht="12.75">
      <c r="A59" s="55" t="s">
        <v>149</v>
      </c>
      <c r="B59" s="36">
        <v>18653.3626</v>
      </c>
      <c r="C59" s="36">
        <v>162086.23953417953</v>
      </c>
      <c r="D59" s="36">
        <v>178.4982718875066</v>
      </c>
      <c r="E59" s="36">
        <v>17306.68424585199</v>
      </c>
      <c r="F59" s="36">
        <v>179392.9237800315</v>
      </c>
      <c r="G59" s="57">
        <v>0.9035263828629432</v>
      </c>
      <c r="H59" s="57">
        <v>0.0964736171370569</v>
      </c>
    </row>
    <row r="60" spans="1:8" ht="12.75">
      <c r="A60" s="55" t="s">
        <v>151</v>
      </c>
      <c r="B60" s="36">
        <v>7461.689686025</v>
      </c>
      <c r="C60" s="36">
        <v>64837.49057549362</v>
      </c>
      <c r="D60" s="36">
        <v>131.63665396365576</v>
      </c>
      <c r="E60" s="36">
        <v>12736.567906941395</v>
      </c>
      <c r="F60" s="36">
        <v>77574.058482435</v>
      </c>
      <c r="G60" s="57">
        <v>0.8358140832630885</v>
      </c>
      <c r="H60" s="57">
        <v>0.16418591673691174</v>
      </c>
    </row>
    <row r="61" spans="7:8" ht="12.75">
      <c r="G61" s="57"/>
      <c r="H61" s="57"/>
    </row>
    <row r="62" spans="1:8" ht="12.75">
      <c r="A62" s="56" t="s">
        <v>140</v>
      </c>
      <c r="B62" s="34">
        <f>AVERAGE(B56:B61)</f>
        <v>11329.650137205</v>
      </c>
      <c r="C62" s="34">
        <f>AVERAGE(C56:C61)</f>
        <v>98584.72931828942</v>
      </c>
      <c r="D62" s="34">
        <f>AVERAGE(D56:D61)</f>
        <v>181.7710680786087</v>
      </c>
      <c r="E62" s="34">
        <f>AVERAGE(E56:E61)</f>
        <v>17637.500853942947</v>
      </c>
      <c r="F62" s="34">
        <f>AVERAGE(F56:F61)</f>
        <v>116222.23017223235</v>
      </c>
      <c r="G62" s="57">
        <f>AVERAGE(G56:G61)</f>
        <v>0.8420748445632611</v>
      </c>
      <c r="H62" s="57">
        <f>AVERAGE(H56:H61)</f>
        <v>0.15792515543673893</v>
      </c>
    </row>
    <row r="63" ht="12.75">
      <c r="A63" s="53"/>
    </row>
    <row r="64" ht="12.75">
      <c r="A64" s="5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