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ClothDimensions" sheetId="1" r:id="rId1"/>
  </sheets>
  <definedNames/>
  <calcPr fullCalcOnLoad="1"/>
</workbook>
</file>

<file path=xl/sharedStrings.xml><?xml version="1.0" encoding="utf-8"?>
<sst xmlns="http://schemas.openxmlformats.org/spreadsheetml/2006/main" count="141" uniqueCount="91">
  <si>
    <t>1510, 1546</t>
  </si>
  <si>
    <t>G.M. Willemsen, ed., 'Le réglement général de la draperie malinoise de 1544', Bulletin du cercle</t>
  </si>
  <si>
    <t xml:space="preserve">A. P. Usher, The Industrial History of England (Boston, 1920), p. 200; </t>
  </si>
  <si>
    <t>ARMENTIERES</t>
  </si>
  <si>
    <t xml:space="preserve">Boone, Marc, ‘Nieuwe teksten over de Gentse draperie: wolaanvoer, productiewijze en controlepraktijken (ca. 1456 - 1468),' </t>
  </si>
  <si>
    <t>Bays:</t>
  </si>
  <si>
    <t>broad</t>
  </si>
  <si>
    <t>Henri De Sagher, et al eds., Recueil de documents relatifs à l'histoire de l'industrie drapière en Flandre,</t>
  </si>
  <si>
    <t xml:space="preserve">J. E. Pilgrim, ‘The Rise of the ‘New Draperies' in Essex,' University of Birmingham Historical Journal, 7 (1959-60), 36-59. </t>
  </si>
  <si>
    <t>M. J. Lameere, H. Simont, et al, eds., Recueil des ordonnances des Pays Bas, deuxième série, 1506 - 1700,</t>
  </si>
  <si>
    <t>archéologique de Malines, 20 (1910), 156-90.</t>
  </si>
  <si>
    <t>deuxième série, 3 vols. (Brussels, 1951-65), II, 362-69, no. 290; 378-81, no. 291;  415, no. 299.</t>
  </si>
  <si>
    <t>1456 and 1546</t>
  </si>
  <si>
    <t>a. Flemish ell in metres</t>
  </si>
  <si>
    <t>Additional Names</t>
  </si>
  <si>
    <t>Area in square metres</t>
  </si>
  <si>
    <t>b. Ghent pound in grams</t>
  </si>
  <si>
    <t>Bergues-Saint-Winoc</t>
  </si>
  <si>
    <t>BERGUES-ST.WINOC</t>
  </si>
  <si>
    <t>Bulletin de la commission royale d'histoire [de Belgique], 154 (1988), 1 - 61.</t>
  </si>
  <si>
    <t>c. Bruges pound in grams</t>
  </si>
  <si>
    <t>d. Mechelen ell in metres</t>
  </si>
  <si>
    <t>Date of Ordinance</t>
  </si>
  <si>
    <t>De Sagher, I,  530-31, no. 163; 538, no. 165; 561-67, nos. 176-77.</t>
  </si>
  <si>
    <t>Dickedinnen</t>
  </si>
  <si>
    <t>Double Say</t>
  </si>
  <si>
    <t>Drapery: City/Region</t>
  </si>
  <si>
    <t>e. Mechelen pound in grams</t>
  </si>
  <si>
    <t>England</t>
  </si>
  <si>
    <t>England: Essex woollens</t>
  </si>
  <si>
    <t>England: Essexworsted says</t>
  </si>
  <si>
    <t>England: Herefords.</t>
  </si>
  <si>
    <t>English Cotswolds (1/3)</t>
  </si>
  <si>
    <t>English:</t>
  </si>
  <si>
    <t>ESSEX</t>
  </si>
  <si>
    <t>ESSEX (Colchester)</t>
  </si>
  <si>
    <t>f. English pound avoirdupois</t>
  </si>
  <si>
    <t>Final Length : metres</t>
  </si>
  <si>
    <t>Final Length: ells/yds</t>
  </si>
  <si>
    <t>Final Weight in kg</t>
  </si>
  <si>
    <t>Final Weight in lb.</t>
  </si>
  <si>
    <t>Final Width: ells/yds</t>
  </si>
  <si>
    <t>Final Width: metres</t>
  </si>
  <si>
    <t>Fine</t>
  </si>
  <si>
    <t>Five Seals</t>
  </si>
  <si>
    <t>Flanders, Artois</t>
  </si>
  <si>
    <t>Flanders, Friesland</t>
  </si>
  <si>
    <t>g. English cloth yard (37 in): m.</t>
  </si>
  <si>
    <t>GHENT</t>
  </si>
  <si>
    <t>Ghent 1456</t>
  </si>
  <si>
    <t>Ghent 1546</t>
  </si>
  <si>
    <t>Ghent 1546: alternative</t>
  </si>
  <si>
    <t>Great Britain, Parliament, Statutes of the Realm, IV:1, 136-37 (statute 5-6 Edwardi VI, c. 6).</t>
  </si>
  <si>
    <t>Gulden Aeren</t>
  </si>
  <si>
    <t>Hondschoote</t>
  </si>
  <si>
    <t>HONDSCHOOTE</t>
  </si>
  <si>
    <t>in the 16th Century: England and the southern Low Countries</t>
  </si>
  <si>
    <t>Lemster Ore</t>
  </si>
  <si>
    <t>Length on Loom: ells/yds</t>
  </si>
  <si>
    <t>Length on Loom: metres</t>
  </si>
  <si>
    <t>long-stapled</t>
  </si>
  <si>
    <t>March, Cotswolds</t>
  </si>
  <si>
    <t>Mechelen</t>
  </si>
  <si>
    <t>MECHELEN</t>
  </si>
  <si>
    <t>n.s.</t>
  </si>
  <si>
    <t>Name of Textile</t>
  </si>
  <si>
    <t>Narrow Say</t>
  </si>
  <si>
    <t>No. of Warps</t>
  </si>
  <si>
    <t>Origin of Wools</t>
  </si>
  <si>
    <t>Oultreffin</t>
  </si>
  <si>
    <t>Says:</t>
  </si>
  <si>
    <t>Scotland, Pomerania</t>
  </si>
  <si>
    <t>Short Broadcloth</t>
  </si>
  <si>
    <t>short-stapled</t>
  </si>
  <si>
    <t>Single</t>
  </si>
  <si>
    <t>Single Say</t>
  </si>
  <si>
    <t>Small</t>
  </si>
  <si>
    <t>Sources:</t>
  </si>
  <si>
    <t>Spanish Merino (2/3)</t>
  </si>
  <si>
    <t>Suffolk, Essex</t>
  </si>
  <si>
    <t>The Dimensions and Compositions of Selected Woollens and Says</t>
  </si>
  <si>
    <t>Vol. V (Brussels, 1910), pp. 272-83.</t>
  </si>
  <si>
    <t>Warps per cm (fulled)</t>
  </si>
  <si>
    <t>Weight on Loom: kg.</t>
  </si>
  <si>
    <t>Weight on Loom: lb.</t>
  </si>
  <si>
    <t>Weight per m2 in grams</t>
  </si>
  <si>
    <t>Width on Loom: ells</t>
  </si>
  <si>
    <t>Width on Loom: metres</t>
  </si>
  <si>
    <t>Wool Types</t>
  </si>
  <si>
    <t>woolen weft</t>
  </si>
  <si>
    <t>worsted warp;</t>
  </si>
</sst>
</file>

<file path=xl/styles.xml><?xml version="1.0" encoding="utf-8"?>
<styleSheet xmlns="http://schemas.openxmlformats.org/spreadsheetml/2006/main">
  <numFmts count="14">
    <numFmt numFmtId="164" formatCode="[$$-409]\ #,##0.00"/>
    <numFmt numFmtId="165" formatCode="[$$-409]\ #,##0"/>
    <numFmt numFmtId="166" formatCode="0.000"/>
    <numFmt numFmtId="167" formatCode="0.000"/>
    <numFmt numFmtId="168" formatCode="0.0000"/>
    <numFmt numFmtId="169" formatCode="0.0000"/>
    <numFmt numFmtId="170" formatCode="0.0000"/>
    <numFmt numFmtId="171" formatCode="0.000"/>
    <numFmt numFmtId="172" formatCode="0.000"/>
    <numFmt numFmtId="173" formatCode="0.000"/>
    <numFmt numFmtId="174" formatCode="0.000"/>
    <numFmt numFmtId="175" formatCode="0.0000"/>
    <numFmt numFmtId="176" formatCode="0.0000"/>
    <numFmt numFmtId="177" formatCode="0.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19"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166" fontId="0" fillId="0" borderId="0" xfId="0" applyAlignment="1">
      <alignment/>
    </xf>
    <xf numFmtId="166" fontId="3" fillId="0" borderId="0" xfId="0" applyAlignment="1">
      <alignment/>
    </xf>
    <xf numFmtId="1" fontId="3" fillId="0" borderId="0" xfId="0" applyAlignment="1">
      <alignment horizontal="center"/>
    </xf>
    <xf numFmtId="1" fontId="0" fillId="0" borderId="0" xfId="0" applyAlignment="1">
      <alignment/>
    </xf>
    <xf numFmtId="168" fontId="0" fillId="0" borderId="0" xfId="0" applyAlignment="1">
      <alignment/>
    </xf>
    <xf numFmtId="168" fontId="0" fillId="2" borderId="0" xfId="0" applyAlignment="1">
      <alignment/>
    </xf>
    <xf numFmtId="168" fontId="0" fillId="0" borderId="0" xfId="0" applyAlignment="1">
      <alignment horizontal="right"/>
    </xf>
    <xf numFmtId="166" fontId="3" fillId="0" borderId="0" xfId="0" applyAlignment="1">
      <alignment horizontal="center"/>
    </xf>
    <xf numFmtId="166" fontId="0" fillId="0" borderId="0" xfId="0" applyAlignment="1">
      <alignment horizontal="right"/>
    </xf>
    <xf numFmtId="166" fontId="3" fillId="0" borderId="0" xfId="0" applyAlignment="1">
      <alignment horizontal="right"/>
    </xf>
    <xf numFmtId="1" fontId="3" fillId="0" borderId="0" xfId="0" applyAlignment="1">
      <alignment horizontal="right"/>
    </xf>
    <xf numFmtId="1" fontId="0" fillId="0" borderId="0" xfId="0" applyAlignment="1">
      <alignment horizontal="right"/>
    </xf>
    <xf numFmtId="166" fontId="0" fillId="0" borderId="0" xfId="0" applyAlignment="1">
      <alignment horizontal="left"/>
    </xf>
    <xf numFmtId="168" fontId="0" fillId="0" borderId="0" xfId="0" applyAlignment="1">
      <alignment horizontal="right"/>
    </xf>
    <xf numFmtId="168" fontId="0" fillId="2" borderId="0" xfId="0" applyAlignment="1">
      <alignment horizontal="right"/>
    </xf>
    <xf numFmtId="168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75"/>
  <sheetViews>
    <sheetView tabSelected="1" defaultGridColor="0" colorId="0" workbookViewId="0" topLeftCell="A1">
      <pane topLeftCell="A1" activePane="topLeft" state="split"/>
      <selection pane="topLeft" activeCell="A44" sqref="A44"/>
    </sheetView>
  </sheetViews>
  <sheetFormatPr defaultColWidth="9.140625" defaultRowHeight="12.75"/>
  <cols>
    <col min="1" max="1" width="27.57421875" style="0" customWidth="1"/>
    <col min="2" max="2" width="16.421875" style="3" customWidth="1"/>
    <col min="3" max="3" width="17.8515625" style="3" customWidth="1"/>
    <col min="4" max="4" width="15.421875" style="3" customWidth="1"/>
    <col min="5" max="5" width="21.140625" style="3" customWidth="1"/>
    <col min="6" max="6" width="20.421875" style="3" customWidth="1"/>
    <col min="7" max="8" width="18.8515625" style="11" customWidth="1"/>
    <col min="9" max="9" width="19.00390625" style="3" customWidth="1"/>
    <col min="10" max="10" width="19.00390625" style="0" customWidth="1"/>
  </cols>
  <sheetData>
    <row r="1" spans="1:2" ht="12.75">
      <c r="A1" s="1"/>
      <c r="B1" s="4" t="s">
        <v>80</v>
      </c>
    </row>
    <row r="2" ht="12.75">
      <c r="B2" s="4" t="s">
        <v>56</v>
      </c>
    </row>
    <row r="3" ht="12.75">
      <c r="B3" s="3"/>
    </row>
    <row r="4" spans="1:10" ht="12.75">
      <c r="A4" s="1" t="s">
        <v>26</v>
      </c>
      <c r="B4" s="4" t="s">
        <v>48</v>
      </c>
      <c r="C4" s="4" t="s">
        <v>63</v>
      </c>
      <c r="D4" s="10" t="s">
        <v>34</v>
      </c>
      <c r="E4" s="4" t="s">
        <v>3</v>
      </c>
      <c r="F4" s="4" t="s">
        <v>18</v>
      </c>
      <c r="G4" s="12" t="s">
        <v>55</v>
      </c>
      <c r="H4" s="12" t="s">
        <v>55</v>
      </c>
      <c r="I4" s="4" t="s">
        <v>35</v>
      </c>
      <c r="J4" s="4" t="s">
        <v>35</v>
      </c>
    </row>
    <row r="5" spans="1:10" ht="12.75">
      <c r="A5" s="1" t="s">
        <v>22</v>
      </c>
      <c r="B5" s="5" t="s">
        <v>12</v>
      </c>
      <c r="C5" s="5">
        <v>1544</v>
      </c>
      <c r="D5" s="5">
        <v>1552</v>
      </c>
      <c r="E5" s="5" t="s">
        <v>0</v>
      </c>
      <c r="F5" s="5">
        <v>1537</v>
      </c>
      <c r="G5" s="13">
        <v>1571</v>
      </c>
      <c r="H5" s="13">
        <v>1571</v>
      </c>
      <c r="I5" s="5">
        <v>1579</v>
      </c>
      <c r="J5" s="5">
        <v>1579</v>
      </c>
    </row>
    <row r="6" spans="1:9" ht="12.75">
      <c r="A6" s="1"/>
      <c r="B6" s="6"/>
      <c r="C6" s="6"/>
      <c r="D6" s="6"/>
      <c r="E6" s="6"/>
      <c r="F6" s="6"/>
      <c r="G6" s="14"/>
      <c r="H6" s="14"/>
      <c r="I6" s="6"/>
    </row>
    <row r="7" spans="1:10" ht="12.75">
      <c r="A7" s="1" t="s">
        <v>65</v>
      </c>
      <c r="B7" s="3" t="s">
        <v>24</v>
      </c>
      <c r="C7" s="3" t="s">
        <v>53</v>
      </c>
      <c r="D7" s="3" t="s">
        <v>72</v>
      </c>
      <c r="E7" s="3" t="s">
        <v>69</v>
      </c>
      <c r="F7" s="3" t="s">
        <v>66</v>
      </c>
      <c r="G7" s="15" t="s">
        <v>75</v>
      </c>
      <c r="H7" s="15" t="s">
        <v>25</v>
      </c>
      <c r="I7" s="3" t="s">
        <v>70</v>
      </c>
      <c r="J7" t="s">
        <v>5</v>
      </c>
    </row>
    <row r="8" spans="1:10" ht="12.75">
      <c r="A8" s="1" t="s">
        <v>14</v>
      </c>
      <c r="B8" s="3" t="s">
        <v>44</v>
      </c>
      <c r="C8" s="3" t="s">
        <v>44</v>
      </c>
      <c r="D8" s="3" t="s">
        <v>79</v>
      </c>
      <c r="E8" s="3"/>
      <c r="F8" s="3" t="s">
        <v>43</v>
      </c>
      <c r="G8" s="15" t="s">
        <v>76</v>
      </c>
      <c r="H8" s="15" t="s">
        <v>76</v>
      </c>
      <c r="I8" s="3" t="s">
        <v>6</v>
      </c>
      <c r="J8" t="s">
        <v>74</v>
      </c>
    </row>
    <row r="9" spans="1:10" ht="12.75">
      <c r="A9" s="1" t="s">
        <v>68</v>
      </c>
      <c r="B9" s="3" t="s">
        <v>28</v>
      </c>
      <c r="C9" s="3" t="s">
        <v>31</v>
      </c>
      <c r="D9" s="3" t="s">
        <v>28</v>
      </c>
      <c r="E9" s="3" t="s">
        <v>78</v>
      </c>
      <c r="F9" s="3" t="s">
        <v>45</v>
      </c>
      <c r="G9" s="15" t="s">
        <v>46</v>
      </c>
      <c r="H9" s="15" t="s">
        <v>46</v>
      </c>
      <c r="I9" s="3" t="s">
        <v>33</v>
      </c>
      <c r="J9" t="s">
        <v>33</v>
      </c>
    </row>
    <row r="10" spans="1:10" ht="12.75">
      <c r="A10" s="1" t="s">
        <v>88</v>
      </c>
      <c r="B10" s="3" t="s">
        <v>61</v>
      </c>
      <c r="C10" s="3" t="s">
        <v>57</v>
      </c>
      <c r="D10" s="3" t="s">
        <v>73</v>
      </c>
      <c r="E10" s="3" t="s">
        <v>32</v>
      </c>
      <c r="F10" s="3" t="s">
        <v>60</v>
      </c>
      <c r="G10" s="15" t="s">
        <v>71</v>
      </c>
      <c r="H10" s="15" t="s">
        <v>71</v>
      </c>
      <c r="I10" s="3" t="s">
        <v>60</v>
      </c>
      <c r="J10" t="s">
        <v>90</v>
      </c>
    </row>
    <row r="11" spans="1:10" ht="12.75">
      <c r="A11" s="1"/>
      <c r="B11" s="3"/>
      <c r="C11" s="3"/>
      <c r="D11" s="3"/>
      <c r="E11" s="3"/>
      <c r="F11" s="3"/>
      <c r="G11" s="15"/>
      <c r="H11" s="15"/>
      <c r="I11" s="3"/>
      <c r="J11" t="s">
        <v>89</v>
      </c>
    </row>
    <row r="12" spans="1:9" ht="12.75">
      <c r="A12" s="1"/>
      <c r="B12" s="3"/>
      <c r="C12" s="3"/>
      <c r="D12" s="3"/>
      <c r="E12" s="3"/>
      <c r="F12" s="3"/>
      <c r="G12" s="11"/>
      <c r="H12" s="11"/>
      <c r="I12" s="3"/>
    </row>
    <row r="13" spans="1:10" ht="12.75">
      <c r="A13" s="1" t="s">
        <v>58</v>
      </c>
      <c r="B13" s="7">
        <v>42.5</v>
      </c>
      <c r="C13" s="7">
        <v>48</v>
      </c>
      <c r="D13" s="9" t="s">
        <v>64</v>
      </c>
      <c r="E13" s="7">
        <v>42</v>
      </c>
      <c r="F13" s="9" t="s">
        <v>64</v>
      </c>
      <c r="G13" s="9">
        <v>40</v>
      </c>
      <c r="H13" s="16">
        <v>40</v>
      </c>
      <c r="I13" s="9" t="s">
        <v>64</v>
      </c>
      <c r="J13" s="9" t="s">
        <v>64</v>
      </c>
    </row>
    <row r="14" spans="1:10" ht="12.75">
      <c r="A14" s="1" t="s">
        <v>59</v>
      </c>
      <c r="B14" s="7">
        <f>B13*0.7</f>
        <v>29.749999999999996</v>
      </c>
      <c r="C14" s="8">
        <f>48*0.689</f>
        <v>33.071999999999996</v>
      </c>
      <c r="D14" s="9" t="s">
        <v>64</v>
      </c>
      <c r="E14" s="7">
        <v>29.4</v>
      </c>
      <c r="F14" s="9" t="s">
        <v>64</v>
      </c>
      <c r="G14" s="8">
        <f>G13*0.7</f>
        <v>28</v>
      </c>
      <c r="H14" s="17">
        <f>H13*0.7</f>
        <v>28</v>
      </c>
      <c r="I14" s="9" t="s">
        <v>64</v>
      </c>
      <c r="J14" s="9" t="s">
        <v>64</v>
      </c>
    </row>
    <row r="15" spans="1:10" ht="12.75">
      <c r="A15" s="1" t="s">
        <v>86</v>
      </c>
      <c r="B15" s="7">
        <f>14.5/4</f>
        <v>3.625</v>
      </c>
      <c r="C15" s="7">
        <f>16/4</f>
        <v>4</v>
      </c>
      <c r="D15" s="9" t="s">
        <v>64</v>
      </c>
      <c r="E15" s="7">
        <v>3</v>
      </c>
      <c r="F15" s="9" t="s">
        <v>64</v>
      </c>
      <c r="G15" s="9" t="s">
        <v>64</v>
      </c>
      <c r="H15" s="16">
        <f>5.75/4</f>
        <v>1.4375</v>
      </c>
      <c r="I15" s="9" t="s">
        <v>64</v>
      </c>
      <c r="J15" s="9" t="s">
        <v>64</v>
      </c>
    </row>
    <row r="16" spans="1:10" ht="12.75">
      <c r="A16" s="1" t="s">
        <v>87</v>
      </c>
      <c r="B16" s="7">
        <f>B15*0.7</f>
        <v>2.5374999999999996</v>
      </c>
      <c r="C16" s="8">
        <f>C15*0.689</f>
        <v>2.756</v>
      </c>
      <c r="D16" s="9" t="s">
        <v>64</v>
      </c>
      <c r="E16" s="7">
        <v>2.1</v>
      </c>
      <c r="F16" s="9" t="s">
        <v>64</v>
      </c>
      <c r="G16" s="9" t="s">
        <v>64</v>
      </c>
      <c r="H16" s="17">
        <f>(5.75/4)*0.7</f>
        <v>1.0062499999999999</v>
      </c>
      <c r="I16" s="9" t="s">
        <v>64</v>
      </c>
      <c r="J16" s="9" t="s">
        <v>64</v>
      </c>
    </row>
    <row r="17" spans="1:10" ht="12.75">
      <c r="A17" s="1" t="s">
        <v>84</v>
      </c>
      <c r="B17" s="7">
        <v>88</v>
      </c>
      <c r="C17" s="9" t="s">
        <v>64</v>
      </c>
      <c r="D17" s="9" t="s">
        <v>64</v>
      </c>
      <c r="E17" s="7">
        <v>88</v>
      </c>
      <c r="F17" s="9" t="s">
        <v>64</v>
      </c>
      <c r="G17" s="9" t="s">
        <v>64</v>
      </c>
      <c r="H17" s="16" t="s">
        <v>64</v>
      </c>
      <c r="I17" s="9" t="s">
        <v>64</v>
      </c>
      <c r="J17" s="9" t="s">
        <v>64</v>
      </c>
    </row>
    <row r="18" spans="1:10" ht="12.75">
      <c r="A18" s="1" t="s">
        <v>83</v>
      </c>
      <c r="B18" s="7">
        <f>B17*0.43385</f>
        <v>38.1788</v>
      </c>
      <c r="C18" s="9" t="s">
        <v>64</v>
      </c>
      <c r="D18" s="9" t="s">
        <v>64</v>
      </c>
      <c r="E18" s="7">
        <v>40.823</v>
      </c>
      <c r="F18" s="9" t="s">
        <v>64</v>
      </c>
      <c r="G18" s="9" t="s">
        <v>64</v>
      </c>
      <c r="H18" s="16" t="s">
        <v>64</v>
      </c>
      <c r="I18" s="9" t="s">
        <v>64</v>
      </c>
      <c r="J18" s="9" t="s">
        <v>64</v>
      </c>
    </row>
    <row r="19" spans="1:10" ht="12.75">
      <c r="A19" s="1" t="s">
        <v>38</v>
      </c>
      <c r="B19" s="7">
        <v>30</v>
      </c>
      <c r="C19" s="7">
        <v>30</v>
      </c>
      <c r="D19" s="7">
        <v>24</v>
      </c>
      <c r="E19" s="7">
        <v>30</v>
      </c>
      <c r="F19" s="7">
        <v>40</v>
      </c>
      <c r="G19" s="16">
        <v>35</v>
      </c>
      <c r="H19" s="16">
        <v>35</v>
      </c>
      <c r="I19" s="7">
        <v>10</v>
      </c>
      <c r="J19" s="18">
        <v>35</v>
      </c>
    </row>
    <row r="20" spans="1:10" ht="12.75">
      <c r="A20" s="1" t="s">
        <v>37</v>
      </c>
      <c r="B20" s="7">
        <f>B19*0.7</f>
        <v>21</v>
      </c>
      <c r="C20" s="8">
        <f>30*0.689</f>
        <v>20.669999999999998</v>
      </c>
      <c r="D20" s="8">
        <f>24*(37/36)*0.9144</f>
        <v>22.5552</v>
      </c>
      <c r="E20" s="8">
        <v>21</v>
      </c>
      <c r="F20" s="8">
        <f>40*0.7</f>
        <v>28</v>
      </c>
      <c r="G20" s="17">
        <f>G19*0.7</f>
        <v>24.5</v>
      </c>
      <c r="H20" s="17">
        <f>H19*0.7</f>
        <v>24.5</v>
      </c>
      <c r="I20" s="8">
        <f>10*0.91444*(37/36)</f>
        <v>9.39841111111111</v>
      </c>
      <c r="J20" s="18">
        <v>31.953</v>
      </c>
    </row>
    <row r="21" spans="1:10" ht="12.75">
      <c r="A21" s="1" t="s">
        <v>41</v>
      </c>
      <c r="B21" s="7">
        <f>9.5/4</f>
        <v>2.375</v>
      </c>
      <c r="C21" s="7">
        <f>10/4</f>
        <v>2.5</v>
      </c>
      <c r="D21" s="7">
        <v>1.75</v>
      </c>
      <c r="E21" s="7">
        <v>2</v>
      </c>
      <c r="F21" s="7">
        <f>4/4</f>
        <v>1</v>
      </c>
      <c r="G21" s="16">
        <f>3.5/4</f>
        <v>0.875</v>
      </c>
      <c r="H21" s="16">
        <f>6.5/4</f>
        <v>1.625</v>
      </c>
      <c r="I21" s="7">
        <v>1</v>
      </c>
      <c r="J21" s="7">
        <v>1</v>
      </c>
    </row>
    <row r="22" spans="1:10" ht="12.75">
      <c r="A22" s="1" t="s">
        <v>42</v>
      </c>
      <c r="B22" s="7">
        <f>B21*0.7</f>
        <v>1.6624999999999999</v>
      </c>
      <c r="C22" s="8">
        <f>(10/4)*0.689</f>
        <v>1.7225</v>
      </c>
      <c r="D22" s="8">
        <f>1.75*(37/36)*0.9144</f>
        <v>1.6446499999999997</v>
      </c>
      <c r="E22" s="8">
        <v>1.4</v>
      </c>
      <c r="F22" s="8">
        <f>(4/4)*0.7</f>
        <v>0.7</v>
      </c>
      <c r="G22" s="17">
        <f>G21*0.7</f>
        <v>0.6124999999999999</v>
      </c>
      <c r="H22" s="17">
        <f>H21*0.7</f>
        <v>1.1375</v>
      </c>
      <c r="I22" s="8">
        <f>(4/4)*(37/36)*0.9144</f>
        <v>0.9397999999999999</v>
      </c>
      <c r="J22" s="8">
        <f>(4/4)*(37/36)*0.9144</f>
        <v>0.9397999999999999</v>
      </c>
    </row>
    <row r="23" spans="1:10" ht="12.75">
      <c r="A23" s="1" t="s">
        <v>67</v>
      </c>
      <c r="B23" s="7">
        <v>2066</v>
      </c>
      <c r="C23" s="7">
        <v>3120</v>
      </c>
      <c r="D23" s="9" t="s">
        <v>64</v>
      </c>
      <c r="E23" s="7">
        <v>1800</v>
      </c>
      <c r="F23" s="7">
        <v>1400</v>
      </c>
      <c r="G23" s="16" t="s">
        <v>64</v>
      </c>
      <c r="H23" s="16">
        <v>1800</v>
      </c>
      <c r="I23" s="9" t="s">
        <v>64</v>
      </c>
      <c r="J23" s="9" t="s">
        <v>64</v>
      </c>
    </row>
    <row r="24" spans="1:10" ht="12.75">
      <c r="A24" s="1" t="s">
        <v>82</v>
      </c>
      <c r="B24" s="7">
        <f>B23/(B22*100)</f>
        <v>12.427067669172933</v>
      </c>
      <c r="C24" s="7">
        <f>C23/(C22*100)</f>
        <v>18.11320754716981</v>
      </c>
      <c r="D24" s="9" t="s">
        <v>64</v>
      </c>
      <c r="E24" s="7">
        <f>E23/(E22*100)</f>
        <v>12.857142857142858</v>
      </c>
      <c r="F24" s="7">
        <f>F23/(F22*100)</f>
        <v>20</v>
      </c>
      <c r="G24" s="16" t="s">
        <v>64</v>
      </c>
      <c r="H24" s="16">
        <f>H23/(H22*100)</f>
        <v>15.824175824175825</v>
      </c>
      <c r="I24" s="9" t="s">
        <v>64</v>
      </c>
      <c r="J24" s="9" t="s">
        <v>64</v>
      </c>
    </row>
    <row r="25" spans="1:10" ht="12.75">
      <c r="A25" s="1" t="s">
        <v>15</v>
      </c>
      <c r="B25" s="7">
        <f>B20*B22</f>
        <v>34.912499999999994</v>
      </c>
      <c r="C25" s="7">
        <f>C20*C22</f>
        <v>35.604074999999995</v>
      </c>
      <c r="D25" s="7">
        <f>D20*D22</f>
        <v>37.095409679999996</v>
      </c>
      <c r="E25" s="7">
        <f>E20*E22</f>
        <v>29.4</v>
      </c>
      <c r="F25" s="7">
        <f>F20*F22</f>
        <v>19.599999999999998</v>
      </c>
      <c r="G25" s="7">
        <f>G20*G22</f>
        <v>15.006249999999998</v>
      </c>
      <c r="H25" s="16">
        <f>H20*H22</f>
        <v>27.86875</v>
      </c>
      <c r="I25" s="7">
        <f>I20*I22</f>
        <v>8.83262676222222</v>
      </c>
      <c r="J25" s="7">
        <f>J20*J22</f>
        <v>30.029429399999994</v>
      </c>
    </row>
    <row r="26" spans="1:10" ht="12.75">
      <c r="A26" s="1" t="s">
        <v>40</v>
      </c>
      <c r="B26" s="7">
        <v>51</v>
      </c>
      <c r="C26" s="7">
        <v>58</v>
      </c>
      <c r="D26" s="7">
        <v>64</v>
      </c>
      <c r="E26" s="7">
        <v>52</v>
      </c>
      <c r="F26" s="7">
        <v>11</v>
      </c>
      <c r="G26" s="16">
        <v>11</v>
      </c>
      <c r="H26" s="16">
        <v>16</v>
      </c>
      <c r="I26" s="7">
        <v>2.75</v>
      </c>
      <c r="J26" s="18">
        <v>22</v>
      </c>
    </row>
    <row r="27" spans="1:10" ht="12.75">
      <c r="A27" s="1" t="s">
        <v>39</v>
      </c>
      <c r="B27" s="7">
        <f>B26*0.43385</f>
        <v>22.126350000000002</v>
      </c>
      <c r="C27" s="8">
        <f>C26*0.46925</f>
        <v>27.2165</v>
      </c>
      <c r="D27" s="8">
        <f>64*0.453593</f>
        <v>29.029952</v>
      </c>
      <c r="E27" s="8">
        <f>E26*0.4639</f>
        <v>24.122799999999998</v>
      </c>
      <c r="F27" s="8">
        <f>11*0.4639</f>
        <v>5.1029</v>
      </c>
      <c r="G27" s="8">
        <f>G26*0.4639</f>
        <v>5.1029</v>
      </c>
      <c r="H27" s="17">
        <f>H26*0.4639</f>
        <v>7.4224</v>
      </c>
      <c r="I27" s="8">
        <f>2.75*0.453493</f>
        <v>1.24710575</v>
      </c>
      <c r="J27" s="18">
        <v>9.979</v>
      </c>
    </row>
    <row r="28" spans="1:10" ht="12.75">
      <c r="A28" s="1" t="s">
        <v>85</v>
      </c>
      <c r="B28" s="7">
        <f>B27/B25*1000</f>
        <v>633.7658431793773</v>
      </c>
      <c r="C28" s="7">
        <f>C27/C25*1000</f>
        <v>764.4209265372012</v>
      </c>
      <c r="D28" s="7">
        <f>D27/D25*1000</f>
        <v>782.5753172811436</v>
      </c>
      <c r="E28" s="7">
        <f>E27/E25*1000</f>
        <v>820.5034013605442</v>
      </c>
      <c r="F28" s="7">
        <f>F27/F25*1000</f>
        <v>260.35204081632656</v>
      </c>
      <c r="G28" s="7">
        <f>G27/G25*1000</f>
        <v>340.05164514785514</v>
      </c>
      <c r="H28" s="16">
        <f>H27/H25*1000</f>
        <v>266.3341556402781</v>
      </c>
      <c r="I28" s="7">
        <f>I27/I25*1000</f>
        <v>141.1930769376513</v>
      </c>
      <c r="J28" s="7">
        <f>J27/J25*1000</f>
        <v>332.30734647259067</v>
      </c>
    </row>
    <row r="29" spans="2:10" ht="12.75">
      <c r="B29" s="7"/>
      <c r="C29" s="7"/>
      <c r="D29" s="7"/>
      <c r="E29" s="7"/>
      <c r="F29" s="7"/>
      <c r="G29" s="16"/>
      <c r="H29" s="16"/>
      <c r="I29" s="7"/>
      <c r="J29" s="18"/>
    </row>
    <row r="30" spans="1:9" ht="12.75">
      <c r="A30" t="s">
        <v>51</v>
      </c>
      <c r="B30" s="3"/>
      <c r="C30" s="3"/>
      <c r="D30" s="3"/>
      <c r="E30" s="3"/>
      <c r="F30" s="3"/>
      <c r="G30" s="11"/>
      <c r="H30" s="11"/>
      <c r="I30" s="3"/>
    </row>
    <row r="31" spans="1:9" ht="12.75">
      <c r="A31" s="1" t="s">
        <v>39</v>
      </c>
      <c r="B31" s="3">
        <f>B26*0.4639</f>
        <v>23.6589</v>
      </c>
      <c r="C31" s="3"/>
      <c r="D31" s="3"/>
      <c r="E31" s="3"/>
      <c r="F31" s="3"/>
      <c r="G31" s="11"/>
      <c r="H31" s="11"/>
      <c r="I31" s="3"/>
    </row>
    <row r="32" spans="1:9" ht="12.75">
      <c r="A32" s="1" t="s">
        <v>85</v>
      </c>
      <c r="B32" s="3">
        <f>B31/B25*1000</f>
        <v>677.6627282491945</v>
      </c>
      <c r="C32" s="3"/>
      <c r="D32" s="3"/>
      <c r="E32" s="3"/>
      <c r="F32" s="3"/>
      <c r="G32" s="11"/>
      <c r="H32" s="11"/>
      <c r="I32" s="3"/>
    </row>
    <row r="33" spans="2:9" ht="12.75">
      <c r="B33" s="3"/>
      <c r="C33" s="3"/>
      <c r="D33" s="3"/>
      <c r="E33" s="3"/>
      <c r="F33" s="3"/>
      <c r="G33" s="11"/>
      <c r="H33" s="11"/>
      <c r="I33" s="3"/>
    </row>
    <row r="34" spans="1:9" ht="12.75">
      <c r="A34" t="s">
        <v>13</v>
      </c>
      <c r="B34" s="3">
        <v>0.7</v>
      </c>
      <c r="C34" s="3"/>
      <c r="E34" s="3"/>
      <c r="F34" s="3"/>
      <c r="G34" s="11"/>
      <c r="H34" s="11"/>
      <c r="I34" s="3"/>
    </row>
    <row r="35" spans="1:9" ht="12.75">
      <c r="A35" t="s">
        <v>16</v>
      </c>
      <c r="B35" s="3">
        <v>433.85</v>
      </c>
      <c r="C35" s="3"/>
      <c r="E35" s="3"/>
      <c r="F35" s="3"/>
      <c r="G35" s="11"/>
      <c r="H35" s="11"/>
      <c r="I35" s="3"/>
    </row>
    <row r="36" spans="1:9" ht="12.75">
      <c r="A36" t="s">
        <v>20</v>
      </c>
      <c r="B36" s="3">
        <v>463.9</v>
      </c>
      <c r="C36" s="3"/>
      <c r="E36" s="3"/>
      <c r="F36" s="3"/>
      <c r="G36" s="11"/>
      <c r="H36" s="11"/>
      <c r="I36" s="3"/>
    </row>
    <row r="37" spans="1:9" ht="12.75">
      <c r="A37" t="s">
        <v>21</v>
      </c>
      <c r="B37" s="3">
        <v>0.689</v>
      </c>
      <c r="C37" s="3"/>
      <c r="E37" s="3"/>
      <c r="F37" s="3"/>
      <c r="G37" s="11"/>
      <c r="H37" s="11"/>
      <c r="I37" s="3"/>
    </row>
    <row r="38" spans="1:9" ht="12.75">
      <c r="A38" t="s">
        <v>27</v>
      </c>
      <c r="B38" s="3">
        <v>469.25</v>
      </c>
      <c r="C38" s="3"/>
      <c r="E38" s="3"/>
      <c r="F38" s="3"/>
      <c r="G38" s="11"/>
      <c r="H38" s="11"/>
      <c r="I38" s="3"/>
    </row>
    <row r="39" spans="1:9" ht="12.75">
      <c r="A39" t="s">
        <v>36</v>
      </c>
      <c r="B39" s="3">
        <v>453.593</v>
      </c>
      <c r="C39" s="3"/>
      <c r="E39" s="3"/>
      <c r="F39" s="3"/>
      <c r="G39" s="11"/>
      <c r="H39" s="11"/>
      <c r="I39" s="3"/>
    </row>
    <row r="40" spans="1:9" ht="12.75">
      <c r="A40" t="s">
        <v>47</v>
      </c>
      <c r="B40" s="3">
        <v>0.9398</v>
      </c>
      <c r="C40" s="3"/>
      <c r="E40" s="3"/>
      <c r="F40" s="3"/>
      <c r="G40" s="11"/>
      <c r="H40" s="11"/>
      <c r="I40" s="3"/>
    </row>
    <row r="41" spans="2:9" ht="12.75">
      <c r="B41" s="3"/>
      <c r="C41" s="3"/>
      <c r="D41" s="3"/>
      <c r="E41" s="3"/>
      <c r="F41" s="3"/>
      <c r="G41" s="11"/>
      <c r="H41" s="11"/>
      <c r="I41" s="3"/>
    </row>
    <row r="42" spans="1:9" ht="12.75">
      <c r="A42" s="1" t="s">
        <v>77</v>
      </c>
      <c r="B42" s="3"/>
      <c r="C42" s="3"/>
      <c r="D42" s="3"/>
      <c r="E42" s="3"/>
      <c r="F42" s="3"/>
      <c r="G42" s="11"/>
      <c r="H42" s="11"/>
      <c r="I42" s="3"/>
    </row>
    <row r="43" spans="1:9" ht="12.75">
      <c r="A43" s="2"/>
      <c r="B43" s="3"/>
      <c r="C43" s="3"/>
      <c r="D43" s="3"/>
      <c r="E43" s="3"/>
      <c r="F43" s="3"/>
      <c r="G43" s="11"/>
      <c r="H43" s="11"/>
      <c r="I43" s="3"/>
    </row>
    <row r="44" spans="1:2" ht="12.75">
      <c r="A44" s="2" t="s">
        <v>49</v>
      </c>
      <c r="B44" s="3" t="s">
        <v>4</v>
      </c>
    </row>
    <row r="45" spans="1:2" ht="12.75">
      <c r="A45" s="2"/>
      <c r="B45" s="3" t="s">
        <v>19</v>
      </c>
    </row>
    <row r="46" spans="1:2" ht="12.75">
      <c r="A46" t="s">
        <v>50</v>
      </c>
      <c r="B46" s="3" t="s">
        <v>9</v>
      </c>
    </row>
    <row r="47" ht="12.75">
      <c r="B47" s="3" t="s">
        <v>81</v>
      </c>
    </row>
    <row r="48" spans="1:2" ht="12.75">
      <c r="A48" t="s">
        <v>29</v>
      </c>
      <c r="B48" s="3" t="s">
        <v>52</v>
      </c>
    </row>
    <row r="49" spans="1:2" ht="12.75">
      <c r="A49" t="s">
        <v>30</v>
      </c>
      <c r="B49" s="3" t="s">
        <v>8</v>
      </c>
    </row>
    <row r="50" ht="12.75">
      <c r="B50" s="3" t="s">
        <v>2</v>
      </c>
    </row>
    <row r="51" spans="1:2" ht="12.75">
      <c r="A51" t="s">
        <v>62</v>
      </c>
      <c r="B51" s="3" t="s">
        <v>1</v>
      </c>
    </row>
    <row r="52" ht="12.75">
      <c r="B52" s="3" t="s">
        <v>10</v>
      </c>
    </row>
    <row r="53" spans="1:2" ht="12.75">
      <c r="A53" t="s">
        <v>54</v>
      </c>
      <c r="B53" s="3" t="s">
        <v>7</v>
      </c>
    </row>
    <row r="54" ht="12.75">
      <c r="B54" s="3" t="s">
        <v>11</v>
      </c>
    </row>
    <row r="55" spans="1:2" ht="12.75">
      <c r="A55" t="s">
        <v>17</v>
      </c>
      <c r="B55" s="3" t="s">
        <v>23</v>
      </c>
    </row>
    <row r="56" ht="12.75">
      <c r="B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