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ECO410\merger_simulation\"/>
    </mc:Choice>
  </mc:AlternateContent>
  <bookViews>
    <workbookView xWindow="120" yWindow="120" windowWidth="15135" windowHeight="9300"/>
  </bookViews>
  <sheets>
    <sheet name="2_to_1_merger" sheetId="8" r:id="rId1"/>
    <sheet name="3_to_2_merger" sheetId="7" r:id="rId2"/>
    <sheet name="4_to_3_merger" sheetId="5" r:id="rId3"/>
    <sheet name="5_to_4_merger" sheetId="1" r:id="rId4"/>
    <sheet name="6_to_5_merger" sheetId="9" r:id="rId5"/>
    <sheet name="7_to_6_merger" sheetId="10" r:id="rId6"/>
  </sheets>
  <definedNames>
    <definedName name="_xlnm.Print_Area" localSheetId="0">'2_to_1_merger'!$A$1:$K$20</definedName>
    <definedName name="_xlnm.Print_Area" localSheetId="1">'3_to_2_merger'!$A$1:$K$20</definedName>
    <definedName name="_xlnm.Print_Area" localSheetId="2">'4_to_3_merger'!$A$1:$K$20</definedName>
    <definedName name="_xlnm.Print_Area" localSheetId="3">'5_to_4_merger'!$A$1:$K$20</definedName>
    <definedName name="_xlnm.Print_Area" localSheetId="4">'6_to_5_merger'!$A$1:$K$22</definedName>
    <definedName name="_xlnm.Print_Area" localSheetId="5">'7_to_6_merger'!$A$1:$K$24</definedName>
  </definedNames>
  <calcPr calcId="152511"/>
</workbook>
</file>

<file path=xl/calcChain.xml><?xml version="1.0" encoding="utf-8"?>
<calcChain xmlns="http://schemas.openxmlformats.org/spreadsheetml/2006/main">
  <c r="F15" i="10" l="1"/>
  <c r="F14" i="10"/>
  <c r="F21" i="9"/>
  <c r="F14" i="9"/>
  <c r="B29" i="10" l="1"/>
  <c r="E15" i="10"/>
  <c r="D15" i="10"/>
  <c r="D14" i="10"/>
  <c r="D21" i="9"/>
  <c r="G14" i="9"/>
  <c r="D14" i="9"/>
  <c r="D9" i="9"/>
  <c r="D13" i="1"/>
  <c r="D9" i="1"/>
  <c r="K24" i="10" l="1"/>
  <c r="K18" i="10"/>
  <c r="K20" i="5"/>
  <c r="K19" i="5"/>
  <c r="K18" i="5"/>
  <c r="K17" i="5"/>
  <c r="K16" i="5"/>
  <c r="K15" i="5"/>
  <c r="K20" i="1"/>
  <c r="K19" i="1"/>
  <c r="K18" i="1"/>
  <c r="K17" i="1"/>
  <c r="K16" i="1"/>
  <c r="K15" i="1"/>
  <c r="K20" i="8"/>
  <c r="K19" i="8"/>
  <c r="K18" i="8"/>
  <c r="K17" i="8"/>
  <c r="K16" i="8"/>
  <c r="K15" i="8"/>
  <c r="C6" i="10"/>
  <c r="C6" i="9"/>
  <c r="F41" i="10"/>
  <c r="E41" i="10"/>
  <c r="D41" i="10"/>
  <c r="C41" i="10"/>
  <c r="B41" i="10"/>
  <c r="A41" i="10"/>
  <c r="G40" i="10"/>
  <c r="F40" i="10"/>
  <c r="E40" i="10"/>
  <c r="D40" i="10"/>
  <c r="C40" i="10"/>
  <c r="B40" i="10"/>
  <c r="A40" i="10"/>
  <c r="G39" i="10"/>
  <c r="F39" i="10"/>
  <c r="E39" i="10"/>
  <c r="D39" i="10"/>
  <c r="C39" i="10"/>
  <c r="B39" i="10"/>
  <c r="A39" i="10"/>
  <c r="F38" i="10"/>
  <c r="E38" i="10"/>
  <c r="D38" i="10"/>
  <c r="C38" i="10"/>
  <c r="B38" i="10"/>
  <c r="A38" i="10"/>
  <c r="F37" i="10"/>
  <c r="E37" i="10"/>
  <c r="D37" i="10"/>
  <c r="C37" i="10"/>
  <c r="B37" i="10"/>
  <c r="A37" i="10"/>
  <c r="F36" i="10"/>
  <c r="E36" i="10"/>
  <c r="D36" i="10"/>
  <c r="C36" i="10"/>
  <c r="B36" i="10"/>
  <c r="A36" i="10"/>
  <c r="B33" i="10"/>
  <c r="B32" i="10"/>
  <c r="B31" i="10"/>
  <c r="B30" i="10"/>
  <c r="E11" i="10"/>
  <c r="B28" i="10"/>
  <c r="E10" i="10" s="1"/>
  <c r="B27" i="10"/>
  <c r="E9" i="10" s="1"/>
  <c r="E22" i="10"/>
  <c r="E21" i="10"/>
  <c r="E14" i="10"/>
  <c r="F13" i="10"/>
  <c r="E13" i="10"/>
  <c r="D13" i="10"/>
  <c r="F12" i="10"/>
  <c r="E12" i="10"/>
  <c r="E20" i="10" s="1"/>
  <c r="D12" i="10"/>
  <c r="F11" i="10"/>
  <c r="D11" i="10"/>
  <c r="F10" i="10"/>
  <c r="I13" i="10" s="1"/>
  <c r="D10" i="10"/>
  <c r="F9" i="10"/>
  <c r="D9" i="10"/>
  <c r="I8" i="10"/>
  <c r="I9" i="10" s="1"/>
  <c r="C5" i="10"/>
  <c r="K17" i="10" l="1"/>
  <c r="I36" i="10" a="1"/>
  <c r="G36" i="10"/>
  <c r="E18" i="10"/>
  <c r="G37" i="10"/>
  <c r="E19" i="10"/>
  <c r="G41" i="10"/>
  <c r="E23" i="10"/>
  <c r="I11" i="10"/>
  <c r="K20" i="10" s="1"/>
  <c r="G11" i="10"/>
  <c r="G15" i="10"/>
  <c r="G10" i="10"/>
  <c r="G14" i="10"/>
  <c r="G9" i="10"/>
  <c r="G12" i="10"/>
  <c r="G13" i="10"/>
  <c r="G38" i="10"/>
  <c r="I10" i="10" l="1"/>
  <c r="I36" i="10"/>
  <c r="D18" i="10" s="1"/>
  <c r="I38" i="10"/>
  <c r="D20" i="10" s="1"/>
  <c r="I41" i="10"/>
  <c r="D23" i="10" s="1"/>
  <c r="I40" i="10"/>
  <c r="D22" i="10" s="1"/>
  <c r="F22" i="10" s="1"/>
  <c r="I39" i="10"/>
  <c r="D21" i="10" s="1"/>
  <c r="I37" i="10"/>
  <c r="D19" i="10" s="1"/>
  <c r="I12" i="10" l="1"/>
  <c r="K21" i="10" s="1"/>
  <c r="K19" i="10"/>
  <c r="F19" i="10"/>
  <c r="F21" i="10"/>
  <c r="F23" i="10"/>
  <c r="F20" i="10"/>
  <c r="F18" i="10"/>
  <c r="I24" i="10" s="1"/>
  <c r="I17" i="10"/>
  <c r="I18" i="10" s="1"/>
  <c r="G22" i="10" l="1"/>
  <c r="I20" i="10"/>
  <c r="G23" i="10"/>
  <c r="G18" i="10"/>
  <c r="I19" i="10" s="1"/>
  <c r="I21" i="10" s="1"/>
  <c r="G21" i="10"/>
  <c r="G19" i="10"/>
  <c r="G20" i="10"/>
  <c r="C6" i="7" l="1"/>
  <c r="C6" i="5"/>
  <c r="C6" i="1"/>
  <c r="C6" i="8"/>
  <c r="E37" i="9" l="1"/>
  <c r="E33" i="9"/>
  <c r="E34" i="9"/>
  <c r="E35" i="9"/>
  <c r="E36" i="9"/>
  <c r="D37" i="9"/>
  <c r="C37" i="9"/>
  <c r="B37" i="9"/>
  <c r="A37" i="9"/>
  <c r="F13" i="9"/>
  <c r="F12" i="9"/>
  <c r="F11" i="9"/>
  <c r="F10" i="9"/>
  <c r="F9" i="9"/>
  <c r="B30" i="9"/>
  <c r="E14" i="9" s="1"/>
  <c r="E21" i="9" s="1"/>
  <c r="B29" i="9"/>
  <c r="B28" i="9"/>
  <c r="B27" i="9"/>
  <c r="E11" i="9" s="1"/>
  <c r="B26" i="9"/>
  <c r="E10" i="9" s="1"/>
  <c r="B25" i="9"/>
  <c r="D10" i="9"/>
  <c r="D11" i="9"/>
  <c r="D12" i="9"/>
  <c r="D13" i="9"/>
  <c r="D10" i="1"/>
  <c r="C5" i="9"/>
  <c r="E9" i="9"/>
  <c r="F33" i="9" s="1"/>
  <c r="E12" i="9"/>
  <c r="F35" i="9" s="1"/>
  <c r="E13" i="9"/>
  <c r="F36" i="9"/>
  <c r="E20" i="9"/>
  <c r="A33" i="9"/>
  <c r="B33" i="9"/>
  <c r="C33" i="9"/>
  <c r="D33" i="9"/>
  <c r="A34" i="9"/>
  <c r="B34" i="9"/>
  <c r="C34" i="9"/>
  <c r="D34" i="9"/>
  <c r="A35" i="9"/>
  <c r="B35" i="9"/>
  <c r="C35" i="9"/>
  <c r="D35" i="9"/>
  <c r="A36" i="9"/>
  <c r="B36" i="9"/>
  <c r="C36" i="9"/>
  <c r="D36" i="9"/>
  <c r="B25" i="7"/>
  <c r="E11" i="7"/>
  <c r="D31" i="7" s="1"/>
  <c r="B27" i="1"/>
  <c r="E13" i="1" s="1"/>
  <c r="B26" i="1"/>
  <c r="E12" i="1"/>
  <c r="F32" i="1" s="1"/>
  <c r="B25" i="1"/>
  <c r="E11" i="1"/>
  <c r="F31" i="1" s="1"/>
  <c r="E17" i="1"/>
  <c r="B23" i="8"/>
  <c r="E9" i="8" s="1"/>
  <c r="C5" i="8"/>
  <c r="D9" i="8"/>
  <c r="D10" i="8"/>
  <c r="F9" i="8"/>
  <c r="I13" i="8" s="1"/>
  <c r="B24" i="8"/>
  <c r="E10" i="8"/>
  <c r="F10" i="8"/>
  <c r="A30" i="8"/>
  <c r="C5" i="7"/>
  <c r="D9" i="7"/>
  <c r="D10" i="7"/>
  <c r="D11" i="7"/>
  <c r="B23" i="7"/>
  <c r="E9" i="7" s="1"/>
  <c r="F9" i="7"/>
  <c r="I13" i="7" s="1"/>
  <c r="B24" i="7"/>
  <c r="E10" i="7" s="1"/>
  <c r="F10" i="7"/>
  <c r="F11" i="7"/>
  <c r="A30" i="7"/>
  <c r="B30" i="7"/>
  <c r="A31" i="7"/>
  <c r="B31" i="7"/>
  <c r="C5" i="5"/>
  <c r="D9" i="5"/>
  <c r="D10" i="5"/>
  <c r="D11" i="5"/>
  <c r="D12" i="5"/>
  <c r="B23" i="5"/>
  <c r="E9" i="5" s="1"/>
  <c r="E16" i="5" s="1"/>
  <c r="F9" i="5"/>
  <c r="B24" i="5"/>
  <c r="E10" i="5" s="1"/>
  <c r="F10" i="5"/>
  <c r="I13" i="5" s="1"/>
  <c r="B25" i="5"/>
  <c r="E11" i="5" s="1"/>
  <c r="E17" i="5" s="1"/>
  <c r="B26" i="5"/>
  <c r="E12" i="5"/>
  <c r="E18" i="5" s="1"/>
  <c r="F11" i="5"/>
  <c r="F12" i="5"/>
  <c r="A30" i="5"/>
  <c r="B30" i="5"/>
  <c r="C30" i="5"/>
  <c r="A31" i="5"/>
  <c r="B31" i="5"/>
  <c r="C31" i="5"/>
  <c r="A32" i="5"/>
  <c r="B32" i="5"/>
  <c r="C32" i="5"/>
  <c r="B23" i="1"/>
  <c r="E9" i="1" s="1"/>
  <c r="E16" i="1" s="1"/>
  <c r="F30" i="1"/>
  <c r="B24" i="1"/>
  <c r="E10" i="1" s="1"/>
  <c r="D11" i="1"/>
  <c r="D12" i="1"/>
  <c r="F13" i="1"/>
  <c r="F12" i="1"/>
  <c r="F11" i="1"/>
  <c r="F10" i="1"/>
  <c r="F9" i="1"/>
  <c r="I13" i="1" s="1"/>
  <c r="C5" i="1"/>
  <c r="D33" i="1"/>
  <c r="C33" i="1"/>
  <c r="B33" i="1"/>
  <c r="A33" i="1"/>
  <c r="D32" i="1"/>
  <c r="C32" i="1"/>
  <c r="B32" i="1"/>
  <c r="A32" i="1"/>
  <c r="D31" i="1"/>
  <c r="C31" i="1"/>
  <c r="B31" i="1"/>
  <c r="A31" i="1"/>
  <c r="D30" i="1"/>
  <c r="C30" i="1"/>
  <c r="B30" i="1"/>
  <c r="A30" i="1"/>
  <c r="D30" i="7" l="1"/>
  <c r="E16" i="7"/>
  <c r="E17" i="9"/>
  <c r="I8" i="7"/>
  <c r="I9" i="7" s="1"/>
  <c r="I8" i="8"/>
  <c r="I9" i="8" s="1"/>
  <c r="I11" i="8" s="1"/>
  <c r="F30" i="7" a="1"/>
  <c r="F31" i="7" s="1"/>
  <c r="D17" i="7" s="1"/>
  <c r="I8" i="9"/>
  <c r="I13" i="9"/>
  <c r="K22" i="9" s="1"/>
  <c r="I8" i="5"/>
  <c r="I9" i="5" s="1"/>
  <c r="H30" i="1" a="1"/>
  <c r="E32" i="5"/>
  <c r="E31" i="5"/>
  <c r="E30" i="5"/>
  <c r="G30" i="5" s="1" a="1"/>
  <c r="E19" i="1"/>
  <c r="F33" i="1"/>
  <c r="I8" i="1"/>
  <c r="I9" i="1" s="1"/>
  <c r="E16" i="8"/>
  <c r="C30" i="8"/>
  <c r="E30" i="8" s="1" a="1"/>
  <c r="E30" i="8" s="1"/>
  <c r="D16" i="8" s="1"/>
  <c r="G9" i="7"/>
  <c r="G10" i="7"/>
  <c r="I11" i="7"/>
  <c r="G11" i="7"/>
  <c r="F34" i="9"/>
  <c r="H33" i="9" s="1" a="1"/>
  <c r="E18" i="9"/>
  <c r="E18" i="1"/>
  <c r="E17" i="7"/>
  <c r="F37" i="9"/>
  <c r="E19" i="9"/>
  <c r="I9" i="9" l="1"/>
  <c r="K16" i="9"/>
  <c r="G10" i="9"/>
  <c r="G9" i="8"/>
  <c r="G12" i="9"/>
  <c r="G10" i="8"/>
  <c r="I11" i="9"/>
  <c r="K19" i="9" s="1"/>
  <c r="G13" i="9"/>
  <c r="F30" i="7"/>
  <c r="D16" i="7" s="1"/>
  <c r="F16" i="7" s="1"/>
  <c r="G30" i="5"/>
  <c r="D16" i="5" s="1"/>
  <c r="G32" i="5"/>
  <c r="D18" i="5" s="1"/>
  <c r="G31" i="5"/>
  <c r="D17" i="5" s="1"/>
  <c r="F17" i="5" s="1"/>
  <c r="H35" i="9"/>
  <c r="D19" i="9" s="1"/>
  <c r="H36" i="9"/>
  <c r="D20" i="9" s="1"/>
  <c r="H33" i="9"/>
  <c r="D17" i="9" s="1"/>
  <c r="H34" i="9"/>
  <c r="D18" i="9" s="1"/>
  <c r="H37" i="9"/>
  <c r="G11" i="1"/>
  <c r="G10" i="1"/>
  <c r="G12" i="1"/>
  <c r="I11" i="1"/>
  <c r="G13" i="1"/>
  <c r="G9" i="1"/>
  <c r="H30" i="1"/>
  <c r="D16" i="1" s="1"/>
  <c r="H32" i="1"/>
  <c r="D18" i="1" s="1"/>
  <c r="H31" i="1"/>
  <c r="D17" i="1" s="1"/>
  <c r="H33" i="1"/>
  <c r="D19" i="1" s="1"/>
  <c r="G11" i="5"/>
  <c r="G9" i="5"/>
  <c r="G10" i="5"/>
  <c r="G12" i="5"/>
  <c r="I11" i="5"/>
  <c r="F16" i="8"/>
  <c r="I20" i="8" s="1"/>
  <c r="I15" i="8"/>
  <c r="I16" i="8" s="1"/>
  <c r="I10" i="7"/>
  <c r="I12" i="7" s="1"/>
  <c r="G11" i="9" l="1"/>
  <c r="K17" i="9"/>
  <c r="G9" i="9"/>
  <c r="I10" i="9" s="1"/>
  <c r="F17" i="1"/>
  <c r="F18" i="9"/>
  <c r="F17" i="7"/>
  <c r="I20" i="7" s="1"/>
  <c r="K20" i="7" s="1"/>
  <c r="I15" i="7"/>
  <c r="I10" i="8"/>
  <c r="I12" i="8" s="1"/>
  <c r="F19" i="1"/>
  <c r="I10" i="1"/>
  <c r="I12" i="1" s="1"/>
  <c r="F19" i="9"/>
  <c r="F18" i="1"/>
  <c r="I16" i="9"/>
  <c r="I17" i="9" s="1"/>
  <c r="F17" i="9"/>
  <c r="F18" i="5"/>
  <c r="G16" i="8"/>
  <c r="I17" i="8" s="1"/>
  <c r="I18" i="8"/>
  <c r="I10" i="5"/>
  <c r="I12" i="5" s="1"/>
  <c r="I15" i="1"/>
  <c r="I16" i="1" s="1"/>
  <c r="F16" i="1"/>
  <c r="F20" i="9"/>
  <c r="F16" i="5"/>
  <c r="I20" i="5" s="1"/>
  <c r="I15" i="5"/>
  <c r="I16" i="5" s="1"/>
  <c r="I12" i="9" l="1"/>
  <c r="K20" i="9" s="1"/>
  <c r="K18" i="9"/>
  <c r="I16" i="7"/>
  <c r="K15" i="7"/>
  <c r="I19" i="8"/>
  <c r="I20" i="1"/>
  <c r="G18" i="1"/>
  <c r="G19" i="1"/>
  <c r="G17" i="1"/>
  <c r="I18" i="1"/>
  <c r="G16" i="1"/>
  <c r="I22" i="9"/>
  <c r="G18" i="5"/>
  <c r="G17" i="5"/>
  <c r="G16" i="5"/>
  <c r="I18" i="5"/>
  <c r="G18" i="9"/>
  <c r="G19" i="9"/>
  <c r="I19" i="9"/>
  <c r="G17" i="9"/>
  <c r="I18" i="9" s="1"/>
  <c r="I20" i="9" s="1"/>
  <c r="G21" i="9"/>
  <c r="G20" i="9"/>
  <c r="I18" i="7" l="1"/>
  <c r="K18" i="7" s="1"/>
  <c r="K16" i="7"/>
  <c r="G16" i="7"/>
  <c r="G17" i="7"/>
  <c r="I17" i="1"/>
  <c r="I19" i="1" s="1"/>
  <c r="I17" i="5"/>
  <c r="I19" i="5" s="1"/>
  <c r="I17" i="7" l="1"/>
  <c r="I19" i="7" l="1"/>
  <c r="K19" i="7" s="1"/>
  <c r="K17" i="7"/>
</calcChain>
</file>

<file path=xl/sharedStrings.xml><?xml version="1.0" encoding="utf-8"?>
<sst xmlns="http://schemas.openxmlformats.org/spreadsheetml/2006/main" count="294" uniqueCount="45">
  <si>
    <t>q</t>
  </si>
  <si>
    <t xml:space="preserve"> </t>
  </si>
  <si>
    <t>b:</t>
  </si>
  <si>
    <t>e:</t>
  </si>
  <si>
    <t>c1:</t>
  </si>
  <si>
    <t>c2:</t>
  </si>
  <si>
    <t>c3:</t>
  </si>
  <si>
    <t>PS:</t>
  </si>
  <si>
    <t>CS:</t>
  </si>
  <si>
    <t>TS:</t>
  </si>
  <si>
    <t>HHI:</t>
  </si>
  <si>
    <t>Solve system of FOC's for prices after merger:</t>
  </si>
  <si>
    <t>a:</t>
  </si>
  <si>
    <t>c4:</t>
  </si>
  <si>
    <t>c5:</t>
  </si>
  <si>
    <t>Firm</t>
  </si>
  <si>
    <t>Q:</t>
  </si>
  <si>
    <t>P:</t>
  </si>
  <si>
    <t>Pre-merger Cournot Equilibrium</t>
  </si>
  <si>
    <t>Post-merger Cournot Equilibrium</t>
  </si>
  <si>
    <t>s</t>
  </si>
  <si>
    <t>Assumed that costs of merged firm (Firms 1 and 2) will be Firm 1's marginal costs times efficiency parameter (set e = 1 if no efficiencies)</t>
  </si>
  <si>
    <t>1&amp;2</t>
  </si>
  <si>
    <t>c</t>
  </si>
  <si>
    <t>q1:</t>
  </si>
  <si>
    <t>q2:</t>
  </si>
  <si>
    <t>q3:</t>
  </si>
  <si>
    <t>q4:</t>
  </si>
  <si>
    <t>q5:</t>
  </si>
  <si>
    <t>Use FOC's to back-out marginal costs:</t>
  </si>
  <si>
    <t>c6:</t>
  </si>
  <si>
    <t>q6:</t>
  </si>
  <si>
    <t>q7:</t>
  </si>
  <si>
    <t>c7:</t>
  </si>
  <si>
    <t>Merger simulation with linear Cournot model:</t>
  </si>
  <si>
    <t>ONLY change cells B7 - B14, which are estimated demand parameters, observed pre-merger quantities, and anticipated efficiencies. Rest adjusts automatically.</t>
  </si>
  <si>
    <t>ONLY change cells B7 - B15, which are estimated demand parameters, observed pre-merger quantities, and merger efficiencies. Rest adjusts automatically.</t>
  </si>
  <si>
    <t>ONLY change cells B7 - B16, which are estimated demand parameters, observed pre-merger quantities, and merger efficiencies. Rest adjusts automatically.</t>
  </si>
  <si>
    <t>profits</t>
  </si>
  <si>
    <r>
      <t>D</t>
    </r>
    <r>
      <rPr>
        <sz val="14"/>
        <rFont val="Calibri"/>
        <family val="2"/>
        <scheme val="minor"/>
      </rPr>
      <t xml:space="preserve"> Q</t>
    </r>
    <r>
      <rPr>
        <sz val="14"/>
        <rFont val="Symbol"/>
        <family val="1"/>
        <charset val="2"/>
      </rPr>
      <t>:</t>
    </r>
  </si>
  <si>
    <r>
      <t>D</t>
    </r>
    <r>
      <rPr>
        <sz val="14"/>
        <rFont val="Calibri"/>
        <family val="2"/>
        <scheme val="minor"/>
      </rPr>
      <t xml:space="preserve"> P</t>
    </r>
    <r>
      <rPr>
        <sz val="14"/>
        <rFont val="Symbol"/>
        <family val="1"/>
        <charset val="2"/>
      </rPr>
      <t>:</t>
    </r>
  </si>
  <si>
    <r>
      <t>D</t>
    </r>
    <r>
      <rPr>
        <sz val="14"/>
        <rFont val="Calibri"/>
        <family val="2"/>
        <scheme val="minor"/>
      </rPr>
      <t xml:space="preserve"> PS</t>
    </r>
    <r>
      <rPr>
        <sz val="14"/>
        <rFont val="Symbol"/>
        <family val="1"/>
        <charset val="2"/>
      </rPr>
      <t>:</t>
    </r>
  </si>
  <si>
    <r>
      <t>D</t>
    </r>
    <r>
      <rPr>
        <sz val="14"/>
        <rFont val="Calibri"/>
        <family val="2"/>
        <scheme val="minor"/>
      </rPr>
      <t xml:space="preserve"> CS</t>
    </r>
    <r>
      <rPr>
        <sz val="14"/>
        <rFont val="Symbol"/>
        <family val="1"/>
        <charset val="2"/>
      </rPr>
      <t>:</t>
    </r>
  </si>
  <si>
    <r>
      <t>D</t>
    </r>
    <r>
      <rPr>
        <sz val="14"/>
        <rFont val="Calibri"/>
        <family val="2"/>
        <scheme val="minor"/>
      </rPr>
      <t xml:space="preserve"> TS</t>
    </r>
    <r>
      <rPr>
        <sz val="14"/>
        <rFont val="Symbol"/>
        <family val="1"/>
        <charset val="2"/>
      </rPr>
      <t>:</t>
    </r>
  </si>
  <si>
    <r>
      <t>D</t>
    </r>
    <r>
      <rPr>
        <sz val="14"/>
        <rFont val="Calibri"/>
        <family val="2"/>
        <scheme val="minor"/>
      </rPr>
      <t xml:space="preserve"> HHI</t>
    </r>
    <r>
      <rPr>
        <sz val="14"/>
        <rFont val="Symbol"/>
        <family val="1"/>
        <charset val="2"/>
      </rPr>
      <t>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</si>
</sst>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0"/>
      <name val="Arial"/>
    </font>
    <font>
      <sz val="8"/>
      <name val="Arial"/>
      <family val="2"/>
    </font>
    <font>
      <b/>
      <sz val="14"/>
      <name val="Calibri"/>
      <family val="2"/>
      <scheme val="minor"/>
    </font>
    <font>
      <sz val="14"/>
      <color indexed="17"/>
      <name val="Calibri"/>
      <family val="2"/>
      <scheme val="minor"/>
    </font>
    <font>
      <sz val="14"/>
      <name val="Calibri"/>
      <family val="2"/>
      <scheme val="minor"/>
    </font>
    <font>
      <sz val="14"/>
      <color indexed="12"/>
      <name val="Calibri"/>
      <family val="2"/>
      <scheme val="minor"/>
    </font>
    <font>
      <i/>
      <sz val="14"/>
      <name val="Calibri"/>
      <family val="2"/>
      <scheme val="minor"/>
    </font>
    <font>
      <sz val="14"/>
      <name val="Symbol"/>
      <family val="1"/>
      <charset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Alignment="1">
      <alignment horizontal="left" vertical="center"/>
    </xf>
    <xf numFmtId="2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2" fontId="4" fillId="0" borderId="0" xfId="0" applyNumberFormat="1" applyFont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2" fontId="4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1" fontId="3" fillId="0" borderId="0" xfId="0" applyNumberFormat="1" applyFont="1" applyAlignment="1">
      <alignment horizontal="left" vertical="center"/>
    </xf>
    <xf numFmtId="0" fontId="4" fillId="0" borderId="0" xfId="0" applyFont="1" applyBorder="1" applyAlignment="1">
      <alignment vertical="center"/>
    </xf>
    <xf numFmtId="2" fontId="3" fillId="0" borderId="0" xfId="0" applyNumberFormat="1" applyFont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164" fontId="4" fillId="0" borderId="1" xfId="0" applyNumberFormat="1" applyFont="1" applyBorder="1" applyAlignment="1">
      <alignment vertical="center"/>
    </xf>
    <xf numFmtId="164" fontId="3" fillId="0" borderId="0" xfId="0" applyNumberFormat="1" applyFont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center"/>
    </xf>
    <xf numFmtId="2" fontId="4" fillId="0" borderId="1" xfId="0" applyNumberFormat="1" applyFont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164" fontId="4" fillId="0" borderId="1" xfId="0" applyNumberFormat="1" applyFont="1" applyFill="1" applyBorder="1" applyAlignment="1">
      <alignment vertical="center"/>
    </xf>
    <xf numFmtId="1" fontId="4" fillId="0" borderId="1" xfId="0" applyNumberFormat="1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164" fontId="4" fillId="0" borderId="0" xfId="0" applyNumberFormat="1" applyFont="1" applyFill="1" applyAlignment="1">
      <alignment horizontal="center" vertical="center"/>
    </xf>
    <xf numFmtId="2" fontId="4" fillId="0" borderId="0" xfId="0" applyNumberFormat="1" applyFont="1" applyFill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2" fontId="4" fillId="0" borderId="0" xfId="0" applyNumberFormat="1" applyFont="1" applyBorder="1" applyAlignment="1">
      <alignment horizontal="center" vertical="center"/>
    </xf>
    <xf numFmtId="164" fontId="4" fillId="0" borderId="0" xfId="0" applyNumberFormat="1" applyFont="1" applyBorder="1" applyAlignment="1">
      <alignment horizontal="center" vertical="center"/>
    </xf>
    <xf numFmtId="1" fontId="4" fillId="0" borderId="0" xfId="0" applyNumberFormat="1" applyFont="1" applyBorder="1" applyAlignment="1">
      <alignment vertical="center"/>
    </xf>
    <xf numFmtId="2" fontId="4" fillId="0" borderId="0" xfId="0" applyNumberFormat="1" applyFont="1" applyBorder="1" applyAlignment="1">
      <alignment vertical="center"/>
    </xf>
    <xf numFmtId="2" fontId="4" fillId="0" borderId="0" xfId="0" applyNumberFormat="1" applyFont="1" applyBorder="1" applyAlignment="1">
      <alignment horizontal="left" vertical="center"/>
    </xf>
    <xf numFmtId="2" fontId="4" fillId="0" borderId="0" xfId="0" applyNumberFormat="1" applyFont="1" applyAlignment="1">
      <alignment horizontal="left" vertical="center"/>
    </xf>
    <xf numFmtId="0" fontId="4" fillId="0" borderId="2" xfId="0" applyFont="1" applyFill="1" applyBorder="1" applyAlignment="1">
      <alignment vertical="center"/>
    </xf>
    <xf numFmtId="1" fontId="4" fillId="0" borderId="3" xfId="0" applyNumberFormat="1" applyFont="1" applyFill="1" applyBorder="1" applyAlignment="1">
      <alignment vertical="center"/>
    </xf>
    <xf numFmtId="2" fontId="6" fillId="0" borderId="1" xfId="0" applyNumberFormat="1" applyFont="1" applyBorder="1" applyAlignment="1">
      <alignment horizontal="center" vertical="center"/>
    </xf>
    <xf numFmtId="2" fontId="4" fillId="0" borderId="1" xfId="0" applyNumberFormat="1" applyFont="1" applyFill="1" applyBorder="1" applyAlignment="1">
      <alignment vertical="center"/>
    </xf>
    <xf numFmtId="0" fontId="3" fillId="0" borderId="0" xfId="0" applyFont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0" fontId="4" fillId="0" borderId="1" xfId="0" applyFont="1" applyFill="1" applyBorder="1" applyAlignment="1">
      <alignment horizontal="right" vertical="center"/>
    </xf>
    <xf numFmtId="0" fontId="4" fillId="0" borderId="2" xfId="0" applyFont="1" applyFill="1" applyBorder="1" applyAlignment="1">
      <alignment horizontal="right" vertical="center"/>
    </xf>
    <xf numFmtId="0" fontId="7" fillId="0" borderId="1" xfId="0" applyFont="1" applyFill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"/>
  <sheetViews>
    <sheetView tabSelected="1" workbookViewId="0">
      <selection activeCell="B7" sqref="B7"/>
    </sheetView>
  </sheetViews>
  <sheetFormatPr defaultColWidth="7.7109375" defaultRowHeight="18.75" x14ac:dyDescent="0.2"/>
  <cols>
    <col min="1" max="1" width="8" style="11" customWidth="1"/>
    <col min="2" max="2" width="15.5703125" style="42" customWidth="1"/>
    <col min="3" max="3" width="7.7109375" style="12" customWidth="1"/>
    <col min="4" max="4" width="16.42578125" style="12" customWidth="1"/>
    <col min="5" max="5" width="13.42578125" style="13" customWidth="1"/>
    <col min="6" max="6" width="8.42578125" style="14" customWidth="1"/>
    <col min="7" max="7" width="16.42578125" style="13" customWidth="1"/>
    <col min="8" max="8" width="6.85546875" style="9" customWidth="1"/>
    <col min="9" max="9" width="16" style="9" customWidth="1"/>
    <col min="10" max="10" width="10.42578125" style="9" customWidth="1"/>
    <col min="11" max="11" width="16" style="9" customWidth="1"/>
    <col min="12" max="16384" width="7.7109375" style="9"/>
  </cols>
  <sheetData>
    <row r="1" spans="1:11" s="3" customFormat="1" x14ac:dyDescent="0.2">
      <c r="A1" s="1" t="s">
        <v>34</v>
      </c>
      <c r="B1" s="2"/>
      <c r="D1" s="4"/>
      <c r="E1" s="5"/>
      <c r="F1" s="6"/>
      <c r="G1" s="5"/>
      <c r="J1" s="3" t="s">
        <v>1</v>
      </c>
    </row>
    <row r="2" spans="1:11" s="7" customFormat="1" ht="36.75" customHeight="1" x14ac:dyDescent="0.2">
      <c r="A2" s="56" t="s">
        <v>35</v>
      </c>
      <c r="B2" s="56"/>
      <c r="C2" s="56"/>
      <c r="D2" s="56"/>
      <c r="E2" s="56"/>
      <c r="F2" s="56"/>
      <c r="G2" s="56"/>
      <c r="H2" s="56"/>
      <c r="I2" s="56"/>
    </row>
    <row r="3" spans="1:11" s="8" customFormat="1" ht="36" customHeight="1" x14ac:dyDescent="0.2">
      <c r="A3" s="57" t="s">
        <v>21</v>
      </c>
      <c r="B3" s="57"/>
      <c r="C3" s="57"/>
      <c r="D3" s="57"/>
      <c r="E3" s="57"/>
      <c r="F3" s="57"/>
      <c r="G3" s="57"/>
      <c r="H3" s="57"/>
      <c r="I3" s="57"/>
    </row>
    <row r="4" spans="1:11" x14ac:dyDescent="0.2">
      <c r="A4" s="9"/>
      <c r="B4" s="10"/>
      <c r="C4" s="11"/>
    </row>
    <row r="5" spans="1:11" x14ac:dyDescent="0.2">
      <c r="A5" s="9"/>
      <c r="B5" s="10"/>
      <c r="C5" s="58" t="str">
        <f>"P = "&amp;B7&amp;" - "&amp;B8&amp;"Q"</f>
        <v>P = 100 - 1Q</v>
      </c>
      <c r="D5" s="58"/>
      <c r="E5" s="58"/>
      <c r="F5" s="58"/>
      <c r="G5" s="58"/>
      <c r="H5" s="58"/>
      <c r="I5" s="58"/>
      <c r="J5" s="15"/>
    </row>
    <row r="6" spans="1:11" x14ac:dyDescent="0.2">
      <c r="A6" s="9"/>
      <c r="B6" s="10"/>
      <c r="C6" s="59" t="str">
        <f>"Cost efficiencies: e = "&amp;$B$14&amp;" (post-merger: c1*e)"</f>
        <v>Cost efficiencies: e = 1 (post-merger: c1*e)</v>
      </c>
      <c r="D6" s="59"/>
      <c r="E6" s="59"/>
      <c r="F6" s="59"/>
      <c r="G6" s="59"/>
      <c r="H6" s="59"/>
      <c r="I6" s="59"/>
      <c r="J6" s="15"/>
    </row>
    <row r="7" spans="1:11" x14ac:dyDescent="0.2">
      <c r="A7" s="47" t="s">
        <v>12</v>
      </c>
      <c r="B7" s="17">
        <v>100</v>
      </c>
      <c r="C7" s="53" t="s">
        <v>18</v>
      </c>
      <c r="D7" s="54"/>
      <c r="E7" s="54"/>
      <c r="F7" s="54"/>
      <c r="G7" s="54"/>
      <c r="H7" s="54"/>
      <c r="I7" s="55"/>
      <c r="J7" s="18"/>
    </row>
    <row r="8" spans="1:11" x14ac:dyDescent="0.2">
      <c r="A8" s="47" t="s">
        <v>2</v>
      </c>
      <c r="B8" s="19">
        <v>1</v>
      </c>
      <c r="C8" s="20" t="s">
        <v>15</v>
      </c>
      <c r="D8" s="21" t="s">
        <v>0</v>
      </c>
      <c r="E8" s="21" t="s">
        <v>23</v>
      </c>
      <c r="F8" s="45" t="s">
        <v>20</v>
      </c>
      <c r="G8" s="21" t="s">
        <v>38</v>
      </c>
      <c r="H8" s="48" t="s">
        <v>16</v>
      </c>
      <c r="I8" s="23">
        <f>SUM(D9:D13)</f>
        <v>60</v>
      </c>
      <c r="J8" s="18"/>
      <c r="K8" s="18"/>
    </row>
    <row r="9" spans="1:11" x14ac:dyDescent="0.2">
      <c r="A9" s="47" t="s">
        <v>24</v>
      </c>
      <c r="B9" s="24">
        <v>30</v>
      </c>
      <c r="C9" s="25">
        <v>1</v>
      </c>
      <c r="D9" s="26">
        <f>$B$9</f>
        <v>30</v>
      </c>
      <c r="E9" s="26">
        <f>B23</f>
        <v>10</v>
      </c>
      <c r="F9" s="27">
        <f>$B$9/($B$9+$B$10+$B$11+$B$12+$B$13)</f>
        <v>0.5</v>
      </c>
      <c r="G9" s="26">
        <f>($I$9-E9)*D9</f>
        <v>900</v>
      </c>
      <c r="H9" s="48" t="s">
        <v>17</v>
      </c>
      <c r="I9" s="28">
        <f>$B$7-$B$8*I8</f>
        <v>40</v>
      </c>
      <c r="J9" s="18"/>
      <c r="K9" s="18"/>
    </row>
    <row r="10" spans="1:11" x14ac:dyDescent="0.2">
      <c r="A10" s="47" t="s">
        <v>25</v>
      </c>
      <c r="B10" s="24">
        <v>30</v>
      </c>
      <c r="C10" s="25">
        <v>2</v>
      </c>
      <c r="D10" s="26">
        <f>$B$10</f>
        <v>30</v>
      </c>
      <c r="E10" s="26">
        <f>B24</f>
        <v>10</v>
      </c>
      <c r="F10" s="27">
        <f>$B$10/($B$9+$B$10+$B$11+$B$12+$B$13)</f>
        <v>0.5</v>
      </c>
      <c r="G10" s="26">
        <f>($I$9-E10)*D10</f>
        <v>900</v>
      </c>
      <c r="H10" s="48" t="s">
        <v>7</v>
      </c>
      <c r="I10" s="23">
        <f>SUM(G9:G13)</f>
        <v>1800</v>
      </c>
      <c r="J10" s="18"/>
      <c r="K10" s="18"/>
    </row>
    <row r="11" spans="1:11" x14ac:dyDescent="0.2">
      <c r="A11" s="47"/>
      <c r="B11" s="24"/>
      <c r="C11" s="25"/>
      <c r="D11" s="26"/>
      <c r="E11" s="26"/>
      <c r="F11" s="27"/>
      <c r="G11" s="26"/>
      <c r="H11" s="49" t="s">
        <v>8</v>
      </c>
      <c r="I11" s="30">
        <f>0.5*($B$7 - I9)*I8</f>
        <v>1800</v>
      </c>
      <c r="J11" s="18"/>
      <c r="K11" s="18"/>
    </row>
    <row r="12" spans="1:11" x14ac:dyDescent="0.2">
      <c r="A12" s="47"/>
      <c r="B12" s="24"/>
      <c r="C12" s="25"/>
      <c r="D12" s="26"/>
      <c r="E12" s="26"/>
      <c r="F12" s="27"/>
      <c r="G12" s="26"/>
      <c r="H12" s="49" t="s">
        <v>9</v>
      </c>
      <c r="I12" s="30">
        <f>SUM(I10:I11)</f>
        <v>3600</v>
      </c>
      <c r="J12" s="18"/>
      <c r="K12" s="18"/>
    </row>
    <row r="13" spans="1:11" x14ac:dyDescent="0.2">
      <c r="A13" s="47"/>
      <c r="B13" s="24"/>
      <c r="C13" s="25"/>
      <c r="D13" s="26"/>
      <c r="E13" s="26"/>
      <c r="F13" s="27"/>
      <c r="G13" s="26"/>
      <c r="H13" s="49" t="s">
        <v>10</v>
      </c>
      <c r="I13" s="31">
        <f>10000*(F9^2+F10^2+F11^2+F12^2+F13^2)</f>
        <v>5000</v>
      </c>
      <c r="J13" s="18"/>
      <c r="K13" s="18"/>
    </row>
    <row r="14" spans="1:11" x14ac:dyDescent="0.2">
      <c r="A14" s="47" t="s">
        <v>3</v>
      </c>
      <c r="B14" s="19">
        <v>1</v>
      </c>
      <c r="C14" s="53" t="s">
        <v>19</v>
      </c>
      <c r="D14" s="54"/>
      <c r="E14" s="54"/>
      <c r="F14" s="54"/>
      <c r="G14" s="54"/>
      <c r="H14" s="54"/>
      <c r="I14" s="55"/>
      <c r="J14" s="32"/>
    </row>
    <row r="15" spans="1:11" x14ac:dyDescent="0.2">
      <c r="A15" s="47"/>
      <c r="B15" s="19"/>
      <c r="C15" s="20" t="s">
        <v>15</v>
      </c>
      <c r="D15" s="21" t="s">
        <v>0</v>
      </c>
      <c r="E15" s="21" t="s">
        <v>23</v>
      </c>
      <c r="F15" s="45" t="s">
        <v>20</v>
      </c>
      <c r="G15" s="21" t="s">
        <v>38</v>
      </c>
      <c r="H15" s="48" t="s">
        <v>16</v>
      </c>
      <c r="I15" s="23">
        <f>SUM(D16:D19)</f>
        <v>45</v>
      </c>
      <c r="J15" s="51" t="s">
        <v>39</v>
      </c>
      <c r="K15" s="30">
        <f>I15-I8</f>
        <v>-15</v>
      </c>
    </row>
    <row r="16" spans="1:11" x14ac:dyDescent="0.2">
      <c r="A16" s="47"/>
      <c r="B16" s="19"/>
      <c r="C16" s="25" t="s">
        <v>22</v>
      </c>
      <c r="D16" s="26">
        <f>E30</f>
        <v>45</v>
      </c>
      <c r="E16" s="26">
        <f>E9*$B$14</f>
        <v>10</v>
      </c>
      <c r="F16" s="27">
        <f>D16/($D$16+$D$17+$D$18+$D$19)</f>
        <v>1</v>
      </c>
      <c r="G16" s="26">
        <f>($I$16-$B$14*E9)*D16</f>
        <v>2025</v>
      </c>
      <c r="H16" s="48" t="s">
        <v>17</v>
      </c>
      <c r="I16" s="28">
        <f>$B$7-$B$8*I15</f>
        <v>55</v>
      </c>
      <c r="J16" s="51" t="s">
        <v>40</v>
      </c>
      <c r="K16" s="46">
        <f t="shared" ref="K16:K20" si="0">I16-I9</f>
        <v>15</v>
      </c>
    </row>
    <row r="17" spans="1:11" x14ac:dyDescent="0.2">
      <c r="A17" s="47"/>
      <c r="B17" s="19"/>
      <c r="C17" s="25"/>
      <c r="D17" s="26"/>
      <c r="E17" s="26"/>
      <c r="F17" s="27"/>
      <c r="G17" s="26"/>
      <c r="H17" s="48" t="s">
        <v>7</v>
      </c>
      <c r="I17" s="23">
        <f>SUM(G16:G19)</f>
        <v>2025</v>
      </c>
      <c r="J17" s="51" t="s">
        <v>41</v>
      </c>
      <c r="K17" s="30">
        <f t="shared" si="0"/>
        <v>225</v>
      </c>
    </row>
    <row r="18" spans="1:11" x14ac:dyDescent="0.2">
      <c r="A18" s="47"/>
      <c r="B18" s="19"/>
      <c r="C18" s="25"/>
      <c r="D18" s="26"/>
      <c r="E18" s="26"/>
      <c r="F18" s="27"/>
      <c r="G18" s="26"/>
      <c r="H18" s="49" t="s">
        <v>8</v>
      </c>
      <c r="I18" s="30">
        <f>0.5*($B$7 - I16)*I15</f>
        <v>1012.5</v>
      </c>
      <c r="J18" s="51" t="s">
        <v>42</v>
      </c>
      <c r="K18" s="30">
        <f t="shared" si="0"/>
        <v>-787.5</v>
      </c>
    </row>
    <row r="19" spans="1:11" x14ac:dyDescent="0.2">
      <c r="A19" s="47"/>
      <c r="B19" s="19"/>
      <c r="C19" s="25"/>
      <c r="D19" s="26"/>
      <c r="E19" s="26"/>
      <c r="F19" s="27"/>
      <c r="G19" s="26"/>
      <c r="H19" s="49" t="s">
        <v>9</v>
      </c>
      <c r="I19" s="30">
        <f>SUM(I17:I18)</f>
        <v>3037.5</v>
      </c>
      <c r="J19" s="51" t="s">
        <v>43</v>
      </c>
      <c r="K19" s="30">
        <f t="shared" si="0"/>
        <v>-562.5</v>
      </c>
    </row>
    <row r="20" spans="1:11" x14ac:dyDescent="0.2">
      <c r="A20" s="47"/>
      <c r="B20" s="19"/>
      <c r="C20" s="25"/>
      <c r="D20" s="26"/>
      <c r="E20" s="26"/>
      <c r="F20" s="27"/>
      <c r="G20" s="26"/>
      <c r="H20" s="49" t="s">
        <v>10</v>
      </c>
      <c r="I20" s="31">
        <f>10000*(F16^2+F17^2+F18^2+F19^2)</f>
        <v>10000</v>
      </c>
      <c r="J20" s="51" t="s">
        <v>44</v>
      </c>
      <c r="K20" s="31">
        <f t="shared" si="0"/>
        <v>5000</v>
      </c>
    </row>
    <row r="21" spans="1:11" x14ac:dyDescent="0.2">
      <c r="A21" s="16"/>
      <c r="B21" s="19"/>
      <c r="C21" s="33"/>
      <c r="D21" s="33"/>
      <c r="E21" s="34"/>
      <c r="F21" s="35"/>
      <c r="G21" s="34"/>
      <c r="H21" s="32"/>
      <c r="I21" s="32"/>
      <c r="J21" s="32"/>
    </row>
    <row r="22" spans="1:11" x14ac:dyDescent="0.2">
      <c r="A22" s="36" t="s">
        <v>29</v>
      </c>
      <c r="B22" s="37"/>
      <c r="C22" s="38"/>
      <c r="D22" s="37"/>
      <c r="E22" s="38"/>
      <c r="F22" s="18"/>
      <c r="G22" s="18"/>
      <c r="J22" s="39"/>
    </row>
    <row r="23" spans="1:11" x14ac:dyDescent="0.2">
      <c r="A23" s="37" t="s">
        <v>4</v>
      </c>
      <c r="B23" s="37">
        <f>$B$7-$B$8*(2*$B$9+$B$10+$B$11+$B$12+$B$13)</f>
        <v>10</v>
      </c>
      <c r="C23" s="37"/>
      <c r="D23" s="37"/>
      <c r="E23" s="37"/>
      <c r="F23" s="40"/>
      <c r="G23" s="40"/>
      <c r="H23" s="10"/>
      <c r="I23" s="10"/>
      <c r="J23" s="39"/>
    </row>
    <row r="24" spans="1:11" x14ac:dyDescent="0.2">
      <c r="A24" s="37" t="s">
        <v>5</v>
      </c>
      <c r="B24" s="37">
        <f>$B$7-$B$8*($B$9+2*$B$10+$B$11+$B$12+$B$13)</f>
        <v>10</v>
      </c>
      <c r="C24" s="37"/>
      <c r="D24" s="37"/>
      <c r="E24" s="37"/>
      <c r="F24" s="40"/>
      <c r="G24" s="40"/>
      <c r="H24" s="10"/>
      <c r="I24" s="10"/>
      <c r="J24" s="39"/>
    </row>
    <row r="25" spans="1:11" x14ac:dyDescent="0.2">
      <c r="A25" s="37"/>
      <c r="B25" s="37"/>
      <c r="C25" s="37"/>
      <c r="D25" s="37"/>
      <c r="E25" s="37"/>
      <c r="F25" s="40"/>
      <c r="G25" s="40"/>
      <c r="H25" s="10"/>
      <c r="I25" s="10"/>
      <c r="J25" s="39"/>
    </row>
    <row r="26" spans="1:11" x14ac:dyDescent="0.2">
      <c r="A26" s="37"/>
      <c r="B26" s="37"/>
      <c r="C26" s="14"/>
      <c r="D26" s="14"/>
      <c r="E26" s="14"/>
      <c r="G26" s="40"/>
      <c r="H26" s="10"/>
      <c r="I26" s="10"/>
      <c r="J26" s="18"/>
    </row>
    <row r="27" spans="1:11" x14ac:dyDescent="0.2">
      <c r="A27" s="37"/>
      <c r="B27" s="37"/>
      <c r="C27" s="14"/>
      <c r="D27" s="14"/>
      <c r="E27" s="14"/>
      <c r="G27" s="40"/>
      <c r="H27" s="10"/>
      <c r="I27" s="10"/>
      <c r="J27" s="18"/>
    </row>
    <row r="28" spans="1:11" x14ac:dyDescent="0.2">
      <c r="A28" s="14"/>
      <c r="B28" s="14"/>
      <c r="C28" s="14"/>
      <c r="D28" s="14"/>
      <c r="E28" s="14"/>
      <c r="G28" s="14"/>
      <c r="H28" s="10"/>
      <c r="I28" s="10"/>
      <c r="J28" s="18"/>
    </row>
    <row r="29" spans="1:11" x14ac:dyDescent="0.2">
      <c r="A29" s="41" t="s">
        <v>11</v>
      </c>
      <c r="B29" s="14"/>
      <c r="C29" s="14"/>
      <c r="D29" s="14"/>
      <c r="E29" s="14"/>
      <c r="G29" s="14"/>
      <c r="H29" s="10"/>
      <c r="I29" s="10"/>
      <c r="J29" s="18"/>
    </row>
    <row r="30" spans="1:11" x14ac:dyDescent="0.2">
      <c r="A30" s="37">
        <f>2*$B$8</f>
        <v>2</v>
      </c>
      <c r="B30" s="37"/>
      <c r="C30" s="40">
        <f>$B$7-(E9*$B$14)</f>
        <v>90</v>
      </c>
      <c r="D30" s="14"/>
      <c r="E30" s="10">
        <f t="array" ref="E30">MMULT(MINVERSE(A30),C30)</f>
        <v>45</v>
      </c>
      <c r="G30" s="9"/>
    </row>
    <row r="31" spans="1:11" x14ac:dyDescent="0.2">
      <c r="A31" s="37"/>
      <c r="B31" s="37"/>
      <c r="C31" s="37"/>
      <c r="D31" s="40"/>
      <c r="E31" s="14"/>
      <c r="F31" s="10"/>
      <c r="G31" s="14"/>
    </row>
    <row r="32" spans="1:11" x14ac:dyDescent="0.2">
      <c r="A32" s="37"/>
      <c r="B32" s="37"/>
      <c r="C32" s="37"/>
      <c r="D32" s="40"/>
      <c r="E32" s="14"/>
      <c r="F32" s="10"/>
      <c r="G32" s="14"/>
    </row>
    <row r="33" spans="1:9" x14ac:dyDescent="0.2">
      <c r="A33" s="14"/>
      <c r="B33" s="14"/>
      <c r="C33" s="14"/>
      <c r="D33" s="14"/>
      <c r="E33" s="14"/>
      <c r="F33" s="40"/>
      <c r="G33" s="14"/>
      <c r="H33" s="10"/>
      <c r="I33" s="14"/>
    </row>
    <row r="34" spans="1:9" x14ac:dyDescent="0.2">
      <c r="A34" s="14"/>
      <c r="B34" s="14"/>
      <c r="C34" s="14"/>
      <c r="D34" s="14"/>
      <c r="E34" s="14"/>
    </row>
  </sheetData>
  <mergeCells count="6">
    <mergeCell ref="C7:I7"/>
    <mergeCell ref="C14:I14"/>
    <mergeCell ref="A2:I2"/>
    <mergeCell ref="A3:I3"/>
    <mergeCell ref="C5:I5"/>
    <mergeCell ref="C6:I6"/>
  </mergeCells>
  <phoneticPr fontId="1" type="noConversion"/>
  <pageMargins left="0.25" right="0.25" top="0.75" bottom="0.75" header="0.3" footer="0.3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"/>
  <sheetViews>
    <sheetView workbookViewId="0">
      <selection activeCell="B7" sqref="B7"/>
    </sheetView>
  </sheetViews>
  <sheetFormatPr defaultColWidth="7.7109375" defaultRowHeight="18.75" x14ac:dyDescent="0.2"/>
  <cols>
    <col min="1" max="1" width="8" style="11" customWidth="1"/>
    <col min="2" max="2" width="15.5703125" style="42" customWidth="1"/>
    <col min="3" max="3" width="7.7109375" style="12" customWidth="1"/>
    <col min="4" max="4" width="16.42578125" style="12" customWidth="1"/>
    <col min="5" max="5" width="13.42578125" style="13" customWidth="1"/>
    <col min="6" max="6" width="8.42578125" style="14" customWidth="1"/>
    <col min="7" max="7" width="16.42578125" style="13" customWidth="1"/>
    <col min="8" max="8" width="6.85546875" style="9" customWidth="1"/>
    <col min="9" max="9" width="16" style="9" customWidth="1"/>
    <col min="10" max="10" width="10.42578125" style="9" customWidth="1"/>
    <col min="11" max="11" width="16" style="9" customWidth="1"/>
    <col min="12" max="16384" width="7.7109375" style="9"/>
  </cols>
  <sheetData>
    <row r="1" spans="1:11" s="3" customFormat="1" x14ac:dyDescent="0.2">
      <c r="A1" s="1" t="s">
        <v>34</v>
      </c>
      <c r="B1" s="2"/>
      <c r="D1" s="4"/>
      <c r="E1" s="5"/>
      <c r="F1" s="6"/>
      <c r="G1" s="5"/>
      <c r="J1" s="3" t="s">
        <v>1</v>
      </c>
    </row>
    <row r="2" spans="1:11" s="7" customFormat="1" ht="36.75" customHeight="1" x14ac:dyDescent="0.2">
      <c r="A2" s="56" t="s">
        <v>35</v>
      </c>
      <c r="B2" s="56"/>
      <c r="C2" s="56"/>
      <c r="D2" s="56"/>
      <c r="E2" s="56"/>
      <c r="F2" s="56"/>
      <c r="G2" s="56"/>
      <c r="H2" s="56"/>
      <c r="I2" s="56"/>
    </row>
    <row r="3" spans="1:11" s="8" customFormat="1" ht="36" customHeight="1" x14ac:dyDescent="0.2">
      <c r="A3" s="57" t="s">
        <v>21</v>
      </c>
      <c r="B3" s="57"/>
      <c r="C3" s="57"/>
      <c r="D3" s="57"/>
      <c r="E3" s="57"/>
      <c r="F3" s="57"/>
      <c r="G3" s="57"/>
      <c r="H3" s="57"/>
      <c r="I3" s="57"/>
    </row>
    <row r="4" spans="1:11" x14ac:dyDescent="0.2">
      <c r="A4" s="9"/>
      <c r="B4" s="10"/>
      <c r="C4" s="11"/>
    </row>
    <row r="5" spans="1:11" x14ac:dyDescent="0.2">
      <c r="A5" s="9"/>
      <c r="B5" s="10"/>
      <c r="C5" s="58" t="str">
        <f>"P = "&amp;B7&amp;" - "&amp;B8&amp;"Q"</f>
        <v>P = 100 - 1Q</v>
      </c>
      <c r="D5" s="58"/>
      <c r="E5" s="58"/>
      <c r="F5" s="58"/>
      <c r="G5" s="58"/>
      <c r="H5" s="58"/>
      <c r="I5" s="58"/>
      <c r="J5" s="15"/>
    </row>
    <row r="6" spans="1:11" x14ac:dyDescent="0.2">
      <c r="A6" s="9"/>
      <c r="B6" s="10"/>
      <c r="C6" s="59" t="str">
        <f>"Cost efficiencies: e = "&amp;$B$14&amp;" (post-merger: c1*e)"</f>
        <v>Cost efficiencies: e = 1 (post-merger: c1*e)</v>
      </c>
      <c r="D6" s="59"/>
      <c r="E6" s="59"/>
      <c r="F6" s="59"/>
      <c r="G6" s="59"/>
      <c r="H6" s="59"/>
      <c r="I6" s="59"/>
      <c r="J6" s="15"/>
    </row>
    <row r="7" spans="1:11" x14ac:dyDescent="0.2">
      <c r="A7" s="47" t="s">
        <v>12</v>
      </c>
      <c r="B7" s="17">
        <v>100</v>
      </c>
      <c r="C7" s="53" t="s">
        <v>18</v>
      </c>
      <c r="D7" s="54"/>
      <c r="E7" s="54"/>
      <c r="F7" s="54"/>
      <c r="G7" s="54"/>
      <c r="H7" s="54"/>
      <c r="I7" s="55"/>
      <c r="J7" s="18"/>
    </row>
    <row r="8" spans="1:11" x14ac:dyDescent="0.2">
      <c r="A8" s="47" t="s">
        <v>2</v>
      </c>
      <c r="B8" s="19">
        <v>1</v>
      </c>
      <c r="C8" s="20" t="s">
        <v>15</v>
      </c>
      <c r="D8" s="21" t="s">
        <v>0</v>
      </c>
      <c r="E8" s="21" t="s">
        <v>23</v>
      </c>
      <c r="F8" s="45" t="s">
        <v>20</v>
      </c>
      <c r="G8" s="21" t="s">
        <v>38</v>
      </c>
      <c r="H8" s="48" t="s">
        <v>16</v>
      </c>
      <c r="I8" s="23">
        <f>SUM(D9:D13)</f>
        <v>67.5</v>
      </c>
      <c r="J8" s="18"/>
      <c r="K8" s="18"/>
    </row>
    <row r="9" spans="1:11" x14ac:dyDescent="0.2">
      <c r="A9" s="47" t="s">
        <v>24</v>
      </c>
      <c r="B9" s="24">
        <v>22.5</v>
      </c>
      <c r="C9" s="25">
        <v>1</v>
      </c>
      <c r="D9" s="26">
        <f>$B$9</f>
        <v>22.5</v>
      </c>
      <c r="E9" s="26">
        <f>B23</f>
        <v>10</v>
      </c>
      <c r="F9" s="27">
        <f>$B$9/($B$9+$B$10+$B$11+$B$12+$B$13)</f>
        <v>0.33333333333333331</v>
      </c>
      <c r="G9" s="26">
        <f>($I$9-E9)*D9</f>
        <v>506.25</v>
      </c>
      <c r="H9" s="48" t="s">
        <v>17</v>
      </c>
      <c r="I9" s="28">
        <f>$B$7-$B$8*I8</f>
        <v>32.5</v>
      </c>
      <c r="J9" s="18"/>
      <c r="K9" s="18"/>
    </row>
    <row r="10" spans="1:11" x14ac:dyDescent="0.2">
      <c r="A10" s="47" t="s">
        <v>25</v>
      </c>
      <c r="B10" s="24">
        <v>22.5</v>
      </c>
      <c r="C10" s="25">
        <v>2</v>
      </c>
      <c r="D10" s="26">
        <f>$B$10</f>
        <v>22.5</v>
      </c>
      <c r="E10" s="26">
        <f>B24</f>
        <v>10</v>
      </c>
      <c r="F10" s="27">
        <f>$B$10/($B$9+$B$10+$B$11+$B$12+$B$13)</f>
        <v>0.33333333333333331</v>
      </c>
      <c r="G10" s="26">
        <f>($I$9-E10)*D10</f>
        <v>506.25</v>
      </c>
      <c r="H10" s="48" t="s">
        <v>7</v>
      </c>
      <c r="I10" s="23">
        <f>SUM(G9:G13)</f>
        <v>1518.75</v>
      </c>
      <c r="J10" s="18"/>
      <c r="K10" s="18"/>
    </row>
    <row r="11" spans="1:11" x14ac:dyDescent="0.2">
      <c r="A11" s="47" t="s">
        <v>26</v>
      </c>
      <c r="B11" s="24">
        <v>22.5</v>
      </c>
      <c r="C11" s="25">
        <v>3</v>
      </c>
      <c r="D11" s="26">
        <f>$B$11</f>
        <v>22.5</v>
      </c>
      <c r="E11" s="26">
        <f>B25</f>
        <v>10</v>
      </c>
      <c r="F11" s="27">
        <f>$B$11/($B$9+$B$10+$B$11+$B$12+$B$13)</f>
        <v>0.33333333333333331</v>
      </c>
      <c r="G11" s="26">
        <f>($I$9-E11)*D11</f>
        <v>506.25</v>
      </c>
      <c r="H11" s="49" t="s">
        <v>8</v>
      </c>
      <c r="I11" s="30">
        <f>0.5*($B$7 - I9)*I8</f>
        <v>2278.125</v>
      </c>
      <c r="J11" s="18"/>
      <c r="K11" s="18"/>
    </row>
    <row r="12" spans="1:11" x14ac:dyDescent="0.2">
      <c r="A12" s="47"/>
      <c r="B12" s="24"/>
      <c r="C12" s="25"/>
      <c r="D12" s="26"/>
      <c r="E12" s="26"/>
      <c r="F12" s="27"/>
      <c r="G12" s="26"/>
      <c r="H12" s="49" t="s">
        <v>9</v>
      </c>
      <c r="I12" s="30">
        <f>SUM(I10:I11)</f>
        <v>3796.875</v>
      </c>
      <c r="J12" s="18"/>
      <c r="K12" s="18"/>
    </row>
    <row r="13" spans="1:11" x14ac:dyDescent="0.2">
      <c r="A13" s="47"/>
      <c r="B13" s="24"/>
      <c r="C13" s="25"/>
      <c r="D13" s="26"/>
      <c r="E13" s="26"/>
      <c r="F13" s="27"/>
      <c r="G13" s="26"/>
      <c r="H13" s="49" t="s">
        <v>10</v>
      </c>
      <c r="I13" s="31">
        <f>10000*(F9^2+F10^2+F11^2+F12^2+F13^2)</f>
        <v>3333.333333333333</v>
      </c>
      <c r="J13" s="18"/>
      <c r="K13" s="18"/>
    </row>
    <row r="14" spans="1:11" x14ac:dyDescent="0.2">
      <c r="A14" s="47" t="s">
        <v>3</v>
      </c>
      <c r="B14" s="19">
        <v>1</v>
      </c>
      <c r="C14" s="53" t="s">
        <v>19</v>
      </c>
      <c r="D14" s="54"/>
      <c r="E14" s="54"/>
      <c r="F14" s="54"/>
      <c r="G14" s="54"/>
      <c r="H14" s="54"/>
      <c r="I14" s="55"/>
      <c r="J14" s="32"/>
    </row>
    <row r="15" spans="1:11" x14ac:dyDescent="0.2">
      <c r="A15" s="47"/>
      <c r="B15" s="19"/>
      <c r="C15" s="20" t="s">
        <v>15</v>
      </c>
      <c r="D15" s="21" t="s">
        <v>0</v>
      </c>
      <c r="E15" s="21" t="s">
        <v>23</v>
      </c>
      <c r="F15" s="45" t="s">
        <v>20</v>
      </c>
      <c r="G15" s="21" t="s">
        <v>38</v>
      </c>
      <c r="H15" s="48" t="s">
        <v>16</v>
      </c>
      <c r="I15" s="23">
        <f>SUM(D16:D19)</f>
        <v>60</v>
      </c>
      <c r="J15" s="51" t="s">
        <v>39</v>
      </c>
      <c r="K15" s="30">
        <f>I15-I8</f>
        <v>-7.5</v>
      </c>
    </row>
    <row r="16" spans="1:11" x14ac:dyDescent="0.2">
      <c r="A16" s="47"/>
      <c r="B16" s="19"/>
      <c r="C16" s="25" t="s">
        <v>22</v>
      </c>
      <c r="D16" s="26">
        <f>F30</f>
        <v>30</v>
      </c>
      <c r="E16" s="26">
        <f>E9*$B$14</f>
        <v>10</v>
      </c>
      <c r="F16" s="27">
        <f>D16/($D$16+$D$17+$D$18+$D$19)</f>
        <v>0.5</v>
      </c>
      <c r="G16" s="26">
        <f>($I$16-$B$14*E9)*D16</f>
        <v>900</v>
      </c>
      <c r="H16" s="48" t="s">
        <v>17</v>
      </c>
      <c r="I16" s="28">
        <f>$B$7-$B$8*I15</f>
        <v>40</v>
      </c>
      <c r="J16" s="51" t="s">
        <v>40</v>
      </c>
      <c r="K16" s="46">
        <f t="shared" ref="K16:K20" si="0">I16-I9</f>
        <v>7.5</v>
      </c>
    </row>
    <row r="17" spans="1:11" x14ac:dyDescent="0.2">
      <c r="A17" s="47"/>
      <c r="B17" s="19"/>
      <c r="C17" s="25">
        <v>3</v>
      </c>
      <c r="D17" s="26">
        <f>F31</f>
        <v>30</v>
      </c>
      <c r="E17" s="26">
        <f>E11</f>
        <v>10</v>
      </c>
      <c r="F17" s="27">
        <f>D17/($D$16+$D$17+$D$18+$D$19)</f>
        <v>0.5</v>
      </c>
      <c r="G17" s="26">
        <f>($I$16-E11)*D17</f>
        <v>900</v>
      </c>
      <c r="H17" s="48" t="s">
        <v>7</v>
      </c>
      <c r="I17" s="23">
        <f>SUM(G16:G19)</f>
        <v>1800</v>
      </c>
      <c r="J17" s="51" t="s">
        <v>41</v>
      </c>
      <c r="K17" s="30">
        <f t="shared" si="0"/>
        <v>281.25</v>
      </c>
    </row>
    <row r="18" spans="1:11" x14ac:dyDescent="0.2">
      <c r="A18" s="47"/>
      <c r="B18" s="19"/>
      <c r="C18" s="25"/>
      <c r="D18" s="26"/>
      <c r="E18" s="26"/>
      <c r="F18" s="27"/>
      <c r="G18" s="26"/>
      <c r="H18" s="49" t="s">
        <v>8</v>
      </c>
      <c r="I18" s="30">
        <f>0.5*($B$7 - I16)*I15</f>
        <v>1800</v>
      </c>
      <c r="J18" s="51" t="s">
        <v>42</v>
      </c>
      <c r="K18" s="30">
        <f t="shared" si="0"/>
        <v>-478.125</v>
      </c>
    </row>
    <row r="19" spans="1:11" x14ac:dyDescent="0.2">
      <c r="A19" s="47"/>
      <c r="B19" s="19"/>
      <c r="C19" s="25"/>
      <c r="D19" s="26"/>
      <c r="E19" s="26"/>
      <c r="F19" s="27"/>
      <c r="G19" s="26"/>
      <c r="H19" s="49" t="s">
        <v>9</v>
      </c>
      <c r="I19" s="30">
        <f>SUM(I17:I18)</f>
        <v>3600</v>
      </c>
      <c r="J19" s="51" t="s">
        <v>43</v>
      </c>
      <c r="K19" s="30">
        <f t="shared" si="0"/>
        <v>-196.875</v>
      </c>
    </row>
    <row r="20" spans="1:11" x14ac:dyDescent="0.2">
      <c r="A20" s="47"/>
      <c r="B20" s="19"/>
      <c r="C20" s="25"/>
      <c r="D20" s="26"/>
      <c r="E20" s="26"/>
      <c r="F20" s="27"/>
      <c r="G20" s="26"/>
      <c r="H20" s="49" t="s">
        <v>10</v>
      </c>
      <c r="I20" s="31">
        <f>10000*(F16^2+F17^2+F18^2+F19^2)</f>
        <v>5000</v>
      </c>
      <c r="J20" s="51" t="s">
        <v>44</v>
      </c>
      <c r="K20" s="31">
        <f t="shared" si="0"/>
        <v>1666.666666666667</v>
      </c>
    </row>
    <row r="21" spans="1:11" x14ac:dyDescent="0.2">
      <c r="A21" s="16"/>
      <c r="B21" s="19"/>
      <c r="C21" s="33"/>
      <c r="D21" s="33"/>
      <c r="E21" s="34"/>
      <c r="F21" s="35"/>
      <c r="G21" s="34"/>
      <c r="H21" s="32"/>
      <c r="I21" s="32"/>
      <c r="J21" s="32"/>
    </row>
    <row r="22" spans="1:11" x14ac:dyDescent="0.2">
      <c r="A22" s="36" t="s">
        <v>29</v>
      </c>
      <c r="B22" s="37"/>
      <c r="C22" s="38"/>
      <c r="D22" s="37"/>
      <c r="E22" s="38"/>
      <c r="F22" s="18"/>
      <c r="G22" s="18"/>
      <c r="J22" s="39"/>
    </row>
    <row r="23" spans="1:11" x14ac:dyDescent="0.2">
      <c r="A23" s="37" t="s">
        <v>4</v>
      </c>
      <c r="B23" s="37">
        <f>$B$7-$B$8*(2*$B$9+$B$10+$B$11+$B$12+$B$13)</f>
        <v>10</v>
      </c>
      <c r="C23" s="37"/>
      <c r="D23" s="37"/>
      <c r="E23" s="37"/>
      <c r="F23" s="40"/>
      <c r="G23" s="40"/>
      <c r="H23" s="10"/>
      <c r="I23" s="10"/>
      <c r="J23" s="39"/>
    </row>
    <row r="24" spans="1:11" x14ac:dyDescent="0.2">
      <c r="A24" s="37" t="s">
        <v>5</v>
      </c>
      <c r="B24" s="37">
        <f>$B$7-$B$8*($B$9+2*$B$10+$B$11+$B$12+$B$13)</f>
        <v>10</v>
      </c>
      <c r="C24" s="37"/>
      <c r="D24" s="37"/>
      <c r="E24" s="37"/>
      <c r="F24" s="40"/>
      <c r="G24" s="40"/>
      <c r="H24" s="10"/>
      <c r="I24" s="10"/>
      <c r="J24" s="39"/>
    </row>
    <row r="25" spans="1:11" x14ac:dyDescent="0.2">
      <c r="A25" s="37" t="s">
        <v>6</v>
      </c>
      <c r="B25" s="37">
        <f>$B$7-$B$8*($B$9+$B$10+2*$B$11+$B$12+$B$13)</f>
        <v>10</v>
      </c>
      <c r="C25" s="37"/>
      <c r="D25" s="37"/>
      <c r="E25" s="37"/>
      <c r="F25" s="40"/>
      <c r="G25" s="40"/>
      <c r="H25" s="10"/>
      <c r="I25" s="10"/>
      <c r="J25" s="39"/>
    </row>
    <row r="26" spans="1:11" x14ac:dyDescent="0.2">
      <c r="A26" s="37"/>
      <c r="B26" s="37"/>
      <c r="C26" s="14"/>
      <c r="D26" s="14"/>
      <c r="E26" s="14"/>
      <c r="G26" s="40"/>
      <c r="H26" s="10"/>
      <c r="I26" s="10"/>
      <c r="J26" s="18"/>
    </row>
    <row r="27" spans="1:11" x14ac:dyDescent="0.2">
      <c r="A27" s="37"/>
      <c r="B27" s="37"/>
      <c r="C27" s="14"/>
      <c r="D27" s="14"/>
      <c r="E27" s="14"/>
      <c r="G27" s="40"/>
      <c r="H27" s="10"/>
      <c r="I27" s="10"/>
      <c r="J27" s="18"/>
    </row>
    <row r="28" spans="1:11" x14ac:dyDescent="0.2">
      <c r="A28" s="14"/>
      <c r="B28" s="14"/>
      <c r="C28" s="14"/>
      <c r="D28" s="14"/>
      <c r="E28" s="14"/>
      <c r="G28" s="14"/>
      <c r="H28" s="10"/>
      <c r="I28" s="10"/>
      <c r="J28" s="18"/>
    </row>
    <row r="29" spans="1:11" x14ac:dyDescent="0.2">
      <c r="A29" s="41" t="s">
        <v>11</v>
      </c>
      <c r="B29" s="14"/>
      <c r="C29" s="14"/>
      <c r="D29" s="14"/>
      <c r="E29" s="14"/>
      <c r="G29" s="14"/>
      <c r="H29" s="10"/>
      <c r="I29" s="10"/>
      <c r="J29" s="18"/>
    </row>
    <row r="30" spans="1:11" x14ac:dyDescent="0.2">
      <c r="A30" s="37">
        <f>2*$B$8</f>
        <v>2</v>
      </c>
      <c r="B30" s="37">
        <f>$B$8</f>
        <v>1</v>
      </c>
      <c r="C30" s="37"/>
      <c r="D30" s="40">
        <f>$B$7-(E9*$B$14)</f>
        <v>90</v>
      </c>
      <c r="E30" s="14"/>
      <c r="F30" s="10">
        <f t="array" ref="F30:F31">MMULT(MINVERSE(A30:B31),D30:D31)</f>
        <v>30</v>
      </c>
      <c r="G30" s="14"/>
    </row>
    <row r="31" spans="1:11" x14ac:dyDescent="0.2">
      <c r="A31" s="37">
        <f>$B$8</f>
        <v>1</v>
      </c>
      <c r="B31" s="37">
        <f>2*$B$8</f>
        <v>2</v>
      </c>
      <c r="C31" s="37"/>
      <c r="D31" s="40">
        <f>$B$7-E11</f>
        <v>90</v>
      </c>
      <c r="E31" s="14"/>
      <c r="F31" s="10">
        <v>30</v>
      </c>
      <c r="G31" s="14"/>
    </row>
    <row r="32" spans="1:11" x14ac:dyDescent="0.2">
      <c r="A32" s="37"/>
      <c r="B32" s="37"/>
      <c r="C32" s="37"/>
      <c r="D32" s="40"/>
      <c r="E32" s="14"/>
      <c r="F32" s="10"/>
      <c r="G32" s="14"/>
    </row>
    <row r="33" spans="1:9" x14ac:dyDescent="0.2">
      <c r="A33" s="14"/>
      <c r="B33" s="14"/>
      <c r="C33" s="14"/>
      <c r="D33" s="14"/>
      <c r="E33" s="14"/>
      <c r="F33" s="40"/>
      <c r="G33" s="14"/>
      <c r="H33" s="10"/>
      <c r="I33" s="14"/>
    </row>
    <row r="34" spans="1:9" x14ac:dyDescent="0.2">
      <c r="A34" s="14"/>
      <c r="B34" s="14"/>
      <c r="C34" s="14"/>
      <c r="D34" s="14"/>
      <c r="E34" s="14"/>
    </row>
  </sheetData>
  <mergeCells count="6">
    <mergeCell ref="C7:I7"/>
    <mergeCell ref="C14:I14"/>
    <mergeCell ref="A2:I2"/>
    <mergeCell ref="A3:I3"/>
    <mergeCell ref="C5:I5"/>
    <mergeCell ref="C6:I6"/>
  </mergeCells>
  <phoneticPr fontId="1" type="noConversion"/>
  <pageMargins left="0.25" right="0.25" top="0.75" bottom="0.75" header="0.3" footer="0.3"/>
  <pageSetup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"/>
  <sheetViews>
    <sheetView workbookViewId="0">
      <selection activeCell="B7" sqref="B7"/>
    </sheetView>
  </sheetViews>
  <sheetFormatPr defaultColWidth="7.7109375" defaultRowHeight="18.75" x14ac:dyDescent="0.2"/>
  <cols>
    <col min="1" max="1" width="8" style="11" customWidth="1"/>
    <col min="2" max="2" width="15.5703125" style="42" customWidth="1"/>
    <col min="3" max="3" width="7.7109375" style="12" customWidth="1"/>
    <col min="4" max="4" width="16.42578125" style="12" customWidth="1"/>
    <col min="5" max="5" width="13.42578125" style="13" customWidth="1"/>
    <col min="6" max="6" width="8.42578125" style="14" customWidth="1"/>
    <col min="7" max="7" width="16.42578125" style="13" customWidth="1"/>
    <col min="8" max="8" width="6.85546875" style="9" customWidth="1"/>
    <col min="9" max="9" width="16" style="9" customWidth="1"/>
    <col min="10" max="10" width="10.42578125" style="9" customWidth="1"/>
    <col min="11" max="11" width="16" style="9" customWidth="1"/>
    <col min="12" max="16384" width="7.7109375" style="9"/>
  </cols>
  <sheetData>
    <row r="1" spans="1:11" s="3" customFormat="1" x14ac:dyDescent="0.2">
      <c r="A1" s="1" t="s">
        <v>34</v>
      </c>
      <c r="B1" s="2"/>
      <c r="D1" s="4"/>
      <c r="E1" s="5"/>
      <c r="F1" s="6"/>
      <c r="G1" s="5"/>
      <c r="J1" s="3" t="s">
        <v>1</v>
      </c>
    </row>
    <row r="2" spans="1:11" s="7" customFormat="1" ht="36.75" customHeight="1" x14ac:dyDescent="0.2">
      <c r="A2" s="56" t="s">
        <v>35</v>
      </c>
      <c r="B2" s="56"/>
      <c r="C2" s="56"/>
      <c r="D2" s="56"/>
      <c r="E2" s="56"/>
      <c r="F2" s="56"/>
      <c r="G2" s="56"/>
      <c r="H2" s="56"/>
      <c r="I2" s="56"/>
    </row>
    <row r="3" spans="1:11" s="8" customFormat="1" ht="36" customHeight="1" x14ac:dyDescent="0.2">
      <c r="A3" s="57" t="s">
        <v>21</v>
      </c>
      <c r="B3" s="57"/>
      <c r="C3" s="57"/>
      <c r="D3" s="57"/>
      <c r="E3" s="57"/>
      <c r="F3" s="57"/>
      <c r="G3" s="57"/>
      <c r="H3" s="57"/>
      <c r="I3" s="57"/>
    </row>
    <row r="4" spans="1:11" x14ac:dyDescent="0.2">
      <c r="A4" s="9"/>
      <c r="B4" s="10"/>
      <c r="C4" s="11"/>
    </row>
    <row r="5" spans="1:11" x14ac:dyDescent="0.2">
      <c r="A5" s="9"/>
      <c r="B5" s="10"/>
      <c r="C5" s="58" t="str">
        <f>"P = "&amp;B7&amp;" - "&amp;B8&amp;"Q"</f>
        <v>P = 100 - 1Q</v>
      </c>
      <c r="D5" s="58"/>
      <c r="E5" s="58"/>
      <c r="F5" s="58"/>
      <c r="G5" s="58"/>
      <c r="H5" s="58"/>
      <c r="I5" s="58"/>
      <c r="J5" s="15"/>
    </row>
    <row r="6" spans="1:11" x14ac:dyDescent="0.2">
      <c r="A6" s="9"/>
      <c r="B6" s="10"/>
      <c r="C6" s="59" t="str">
        <f>"Cost efficiencies: e = "&amp;$B$14&amp;" (post-merger: c1*e)"</f>
        <v>Cost efficiencies: e = 1 (post-merger: c1*e)</v>
      </c>
      <c r="D6" s="59"/>
      <c r="E6" s="59"/>
      <c r="F6" s="59"/>
      <c r="G6" s="59"/>
      <c r="H6" s="59"/>
      <c r="I6" s="59"/>
      <c r="J6" s="15"/>
    </row>
    <row r="7" spans="1:11" x14ac:dyDescent="0.2">
      <c r="A7" s="47" t="s">
        <v>12</v>
      </c>
      <c r="B7" s="17">
        <v>100</v>
      </c>
      <c r="C7" s="53" t="s">
        <v>18</v>
      </c>
      <c r="D7" s="54"/>
      <c r="E7" s="54"/>
      <c r="F7" s="54"/>
      <c r="G7" s="54"/>
      <c r="H7" s="54"/>
      <c r="I7" s="55"/>
      <c r="J7" s="18"/>
    </row>
    <row r="8" spans="1:11" x14ac:dyDescent="0.2">
      <c r="A8" s="47" t="s">
        <v>2</v>
      </c>
      <c r="B8" s="19">
        <v>1</v>
      </c>
      <c r="C8" s="20" t="s">
        <v>15</v>
      </c>
      <c r="D8" s="21" t="s">
        <v>0</v>
      </c>
      <c r="E8" s="21" t="s">
        <v>23</v>
      </c>
      <c r="F8" s="45" t="s">
        <v>20</v>
      </c>
      <c r="G8" s="21" t="s">
        <v>38</v>
      </c>
      <c r="H8" s="48" t="s">
        <v>16</v>
      </c>
      <c r="I8" s="23">
        <f>SUM(D9:D13)</f>
        <v>72</v>
      </c>
      <c r="J8" s="18"/>
      <c r="K8" s="18"/>
    </row>
    <row r="9" spans="1:11" x14ac:dyDescent="0.2">
      <c r="A9" s="47" t="s">
        <v>24</v>
      </c>
      <c r="B9" s="24">
        <v>18</v>
      </c>
      <c r="C9" s="25">
        <v>1</v>
      </c>
      <c r="D9" s="26">
        <f>$B$9</f>
        <v>18</v>
      </c>
      <c r="E9" s="26">
        <f>B23</f>
        <v>10</v>
      </c>
      <c r="F9" s="27">
        <f>$B$9/($B$9+$B$10+$B$11+$B$12+$B$13)</f>
        <v>0.25</v>
      </c>
      <c r="G9" s="26">
        <f>($I$9-E9)*D9</f>
        <v>324</v>
      </c>
      <c r="H9" s="48" t="s">
        <v>17</v>
      </c>
      <c r="I9" s="28">
        <f>$B$7-$B$8*I8</f>
        <v>28</v>
      </c>
      <c r="J9" s="18"/>
      <c r="K9" s="18"/>
    </row>
    <row r="10" spans="1:11" x14ac:dyDescent="0.2">
      <c r="A10" s="47" t="s">
        <v>25</v>
      </c>
      <c r="B10" s="24">
        <v>18</v>
      </c>
      <c r="C10" s="25">
        <v>2</v>
      </c>
      <c r="D10" s="26">
        <f>$B$10</f>
        <v>18</v>
      </c>
      <c r="E10" s="26">
        <f>B24</f>
        <v>10</v>
      </c>
      <c r="F10" s="27">
        <f>$B$10/($B$9+$B$10+$B$11+$B$12+$B$13)</f>
        <v>0.25</v>
      </c>
      <c r="G10" s="26">
        <f>($I$9-E10)*D10</f>
        <v>324</v>
      </c>
      <c r="H10" s="48" t="s">
        <v>7</v>
      </c>
      <c r="I10" s="23">
        <f>SUM(G9:G13)</f>
        <v>1296</v>
      </c>
      <c r="J10" s="18"/>
      <c r="K10" s="18"/>
    </row>
    <row r="11" spans="1:11" x14ac:dyDescent="0.2">
      <c r="A11" s="47" t="s">
        <v>26</v>
      </c>
      <c r="B11" s="24">
        <v>18</v>
      </c>
      <c r="C11" s="25">
        <v>3</v>
      </c>
      <c r="D11" s="26">
        <f>$B$11</f>
        <v>18</v>
      </c>
      <c r="E11" s="26">
        <f>B25</f>
        <v>10</v>
      </c>
      <c r="F11" s="27">
        <f>$B$11/($B$9+$B$10+$B$11+$B$12+$B$13)</f>
        <v>0.25</v>
      </c>
      <c r="G11" s="26">
        <f>($I$9-E11)*D11</f>
        <v>324</v>
      </c>
      <c r="H11" s="49" t="s">
        <v>8</v>
      </c>
      <c r="I11" s="30">
        <f>0.5*($B$7 - I9)*I8</f>
        <v>2592</v>
      </c>
      <c r="J11" s="18"/>
      <c r="K11" s="18"/>
    </row>
    <row r="12" spans="1:11" x14ac:dyDescent="0.2">
      <c r="A12" s="47" t="s">
        <v>27</v>
      </c>
      <c r="B12" s="24">
        <v>18</v>
      </c>
      <c r="C12" s="25">
        <v>4</v>
      </c>
      <c r="D12" s="26">
        <f>$B$12</f>
        <v>18</v>
      </c>
      <c r="E12" s="26">
        <f>B26</f>
        <v>10</v>
      </c>
      <c r="F12" s="27">
        <f>$B$12/($B$9+$B$10+$B$11+$B$12+$B$13)</f>
        <v>0.25</v>
      </c>
      <c r="G12" s="26">
        <f>($I$9-E12)*D12</f>
        <v>324</v>
      </c>
      <c r="H12" s="49" t="s">
        <v>9</v>
      </c>
      <c r="I12" s="30">
        <f>SUM(I10:I11)</f>
        <v>3888</v>
      </c>
      <c r="J12" s="18"/>
      <c r="K12" s="18"/>
    </row>
    <row r="13" spans="1:11" x14ac:dyDescent="0.2">
      <c r="A13" s="47"/>
      <c r="B13" s="24"/>
      <c r="C13" s="25"/>
      <c r="D13" s="26"/>
      <c r="E13" s="26"/>
      <c r="F13" s="27"/>
      <c r="G13" s="26"/>
      <c r="H13" s="49" t="s">
        <v>10</v>
      </c>
      <c r="I13" s="31">
        <f>10000*(F9^2+F10^2+F11^2+F12^2+F13^2)</f>
        <v>2500</v>
      </c>
      <c r="J13" s="18"/>
      <c r="K13" s="18"/>
    </row>
    <row r="14" spans="1:11" x14ac:dyDescent="0.2">
      <c r="A14" s="47" t="s">
        <v>3</v>
      </c>
      <c r="B14" s="19">
        <v>1</v>
      </c>
      <c r="C14" s="53" t="s">
        <v>19</v>
      </c>
      <c r="D14" s="54"/>
      <c r="E14" s="54"/>
      <c r="F14" s="54"/>
      <c r="G14" s="54"/>
      <c r="H14" s="54"/>
      <c r="I14" s="55"/>
      <c r="J14" s="32"/>
    </row>
    <row r="15" spans="1:11" x14ac:dyDescent="0.2">
      <c r="A15" s="47"/>
      <c r="B15" s="19"/>
      <c r="C15" s="20" t="s">
        <v>15</v>
      </c>
      <c r="D15" s="21" t="s">
        <v>0</v>
      </c>
      <c r="E15" s="21" t="s">
        <v>23</v>
      </c>
      <c r="F15" s="45" t="s">
        <v>20</v>
      </c>
      <c r="G15" s="21" t="s">
        <v>38</v>
      </c>
      <c r="H15" s="48" t="s">
        <v>16</v>
      </c>
      <c r="I15" s="23">
        <f>SUM(D16:D19)</f>
        <v>67.5</v>
      </c>
      <c r="J15" s="51" t="s">
        <v>39</v>
      </c>
      <c r="K15" s="30">
        <f>I15-I8</f>
        <v>-4.5</v>
      </c>
    </row>
    <row r="16" spans="1:11" x14ac:dyDescent="0.2">
      <c r="A16" s="47"/>
      <c r="B16" s="19"/>
      <c r="C16" s="25" t="s">
        <v>22</v>
      </c>
      <c r="D16" s="26">
        <f>G30</f>
        <v>22.5</v>
      </c>
      <c r="E16" s="26">
        <f>E9*$B$14</f>
        <v>10</v>
      </c>
      <c r="F16" s="27">
        <f>D16/($D$16+$D$17+$D$18+$D$19)</f>
        <v>0.33333333333333331</v>
      </c>
      <c r="G16" s="26">
        <f>($I$16-$B$14*E9)*D16</f>
        <v>506.25</v>
      </c>
      <c r="H16" s="48" t="s">
        <v>17</v>
      </c>
      <c r="I16" s="28">
        <f>$B$7-$B$8*I15</f>
        <v>32.5</v>
      </c>
      <c r="J16" s="51" t="s">
        <v>40</v>
      </c>
      <c r="K16" s="46">
        <f t="shared" ref="K16:K20" si="0">I16-I9</f>
        <v>4.5</v>
      </c>
    </row>
    <row r="17" spans="1:11" x14ac:dyDescent="0.2">
      <c r="A17" s="47"/>
      <c r="B17" s="19"/>
      <c r="C17" s="25">
        <v>3</v>
      </c>
      <c r="D17" s="26">
        <f>G31</f>
        <v>22.5</v>
      </c>
      <c r="E17" s="26">
        <f>E11</f>
        <v>10</v>
      </c>
      <c r="F17" s="27">
        <f>D17/($D$16+$D$17+$D$18+$D$19)</f>
        <v>0.33333333333333331</v>
      </c>
      <c r="G17" s="26">
        <f>($I$16-E11)*D17</f>
        <v>506.25</v>
      </c>
      <c r="H17" s="48" t="s">
        <v>7</v>
      </c>
      <c r="I17" s="23">
        <f>SUM(G16:G19)</f>
        <v>1518.75</v>
      </c>
      <c r="J17" s="51" t="s">
        <v>41</v>
      </c>
      <c r="K17" s="30">
        <f t="shared" si="0"/>
        <v>222.75</v>
      </c>
    </row>
    <row r="18" spans="1:11" x14ac:dyDescent="0.2">
      <c r="A18" s="47"/>
      <c r="B18" s="19"/>
      <c r="C18" s="25">
        <v>4</v>
      </c>
      <c r="D18" s="26">
        <f>G32</f>
        <v>22.5</v>
      </c>
      <c r="E18" s="26">
        <f>E12</f>
        <v>10</v>
      </c>
      <c r="F18" s="27">
        <f>D18/($D$16+$D$17+$D$18+$D$19)</f>
        <v>0.33333333333333331</v>
      </c>
      <c r="G18" s="26">
        <f>($I$16-E12)*D18</f>
        <v>506.25</v>
      </c>
      <c r="H18" s="49" t="s">
        <v>8</v>
      </c>
      <c r="I18" s="30">
        <f>0.5*($B$7 - I16)*I15</f>
        <v>2278.125</v>
      </c>
      <c r="J18" s="51" t="s">
        <v>42</v>
      </c>
      <c r="K18" s="30">
        <f t="shared" si="0"/>
        <v>-313.875</v>
      </c>
    </row>
    <row r="19" spans="1:11" x14ac:dyDescent="0.2">
      <c r="A19" s="47"/>
      <c r="B19" s="19"/>
      <c r="C19" s="25"/>
      <c r="D19" s="26"/>
      <c r="E19" s="26"/>
      <c r="F19" s="27"/>
      <c r="G19" s="26"/>
      <c r="H19" s="49" t="s">
        <v>9</v>
      </c>
      <c r="I19" s="30">
        <f>SUM(I17:I18)</f>
        <v>3796.875</v>
      </c>
      <c r="J19" s="51" t="s">
        <v>43</v>
      </c>
      <c r="K19" s="30">
        <f t="shared" si="0"/>
        <v>-91.125</v>
      </c>
    </row>
    <row r="20" spans="1:11" x14ac:dyDescent="0.2">
      <c r="A20" s="47"/>
      <c r="B20" s="19"/>
      <c r="C20" s="25"/>
      <c r="D20" s="26"/>
      <c r="E20" s="26"/>
      <c r="F20" s="27"/>
      <c r="G20" s="26"/>
      <c r="H20" s="49" t="s">
        <v>10</v>
      </c>
      <c r="I20" s="31">
        <f>10000*(F16^2+F17^2+F18^2+F19^2)</f>
        <v>3333.333333333333</v>
      </c>
      <c r="J20" s="51" t="s">
        <v>44</v>
      </c>
      <c r="K20" s="31">
        <f t="shared" si="0"/>
        <v>833.33333333333303</v>
      </c>
    </row>
    <row r="21" spans="1:11" x14ac:dyDescent="0.2">
      <c r="A21" s="16"/>
      <c r="B21" s="19"/>
      <c r="C21" s="33"/>
      <c r="D21" s="33"/>
      <c r="E21" s="34"/>
      <c r="F21" s="35"/>
      <c r="G21" s="34"/>
      <c r="H21" s="32"/>
      <c r="I21" s="32"/>
      <c r="J21" s="32"/>
    </row>
    <row r="22" spans="1:11" x14ac:dyDescent="0.2">
      <c r="A22" s="36" t="s">
        <v>29</v>
      </c>
      <c r="B22" s="37"/>
      <c r="C22" s="38"/>
      <c r="D22" s="37"/>
      <c r="E22" s="38"/>
      <c r="F22" s="18"/>
      <c r="G22" s="18"/>
      <c r="J22" s="39"/>
    </row>
    <row r="23" spans="1:11" x14ac:dyDescent="0.2">
      <c r="A23" s="37" t="s">
        <v>4</v>
      </c>
      <c r="B23" s="37">
        <f>$B$7-$B$8*(2*$B$9+$B$10+$B$11+$B$12+$B$13)</f>
        <v>10</v>
      </c>
      <c r="C23" s="37"/>
      <c r="D23" s="37"/>
      <c r="E23" s="37"/>
      <c r="F23" s="40"/>
      <c r="G23" s="40"/>
      <c r="H23" s="10"/>
      <c r="I23" s="10"/>
      <c r="J23" s="39"/>
    </row>
    <row r="24" spans="1:11" x14ac:dyDescent="0.2">
      <c r="A24" s="37" t="s">
        <v>5</v>
      </c>
      <c r="B24" s="37">
        <f>$B$7-$B$8*($B$9+2*$B$10+$B$11+$B$12+$B$13)</f>
        <v>10</v>
      </c>
      <c r="C24" s="37"/>
      <c r="D24" s="37"/>
      <c r="E24" s="37"/>
      <c r="F24" s="40"/>
      <c r="G24" s="40"/>
      <c r="H24" s="10"/>
      <c r="I24" s="10"/>
      <c r="J24" s="39"/>
    </row>
    <row r="25" spans="1:11" x14ac:dyDescent="0.2">
      <c r="A25" s="37" t="s">
        <v>6</v>
      </c>
      <c r="B25" s="37">
        <f>$B$7-$B$8*($B$9+$B$10+2*$B$11+$B$12+$B$13)</f>
        <v>10</v>
      </c>
      <c r="C25" s="37"/>
      <c r="D25" s="37"/>
      <c r="E25" s="37"/>
      <c r="F25" s="40"/>
      <c r="G25" s="40"/>
      <c r="H25" s="10"/>
      <c r="I25" s="10"/>
      <c r="J25" s="39"/>
    </row>
    <row r="26" spans="1:11" x14ac:dyDescent="0.2">
      <c r="A26" s="37" t="s">
        <v>13</v>
      </c>
      <c r="B26" s="37">
        <f>$B$7-$B$8*($B$9+$B$10+$B$11+2*$B$12+$B$13)</f>
        <v>10</v>
      </c>
      <c r="C26" s="14"/>
      <c r="D26" s="14"/>
      <c r="E26" s="14"/>
      <c r="G26" s="40"/>
      <c r="H26" s="10"/>
      <c r="I26" s="10"/>
      <c r="J26" s="18"/>
    </row>
    <row r="27" spans="1:11" x14ac:dyDescent="0.2">
      <c r="A27" s="37"/>
      <c r="B27" s="37"/>
      <c r="C27" s="14"/>
      <c r="D27" s="14"/>
      <c r="E27" s="14"/>
      <c r="G27" s="40"/>
      <c r="H27" s="10"/>
      <c r="I27" s="10"/>
      <c r="J27" s="18"/>
    </row>
    <row r="28" spans="1:11" x14ac:dyDescent="0.2">
      <c r="A28" s="14"/>
      <c r="B28" s="14"/>
      <c r="C28" s="14"/>
      <c r="D28" s="14"/>
      <c r="E28" s="14"/>
      <c r="G28" s="14"/>
      <c r="H28" s="10"/>
      <c r="I28" s="10"/>
      <c r="J28" s="18"/>
    </row>
    <row r="29" spans="1:11" x14ac:dyDescent="0.2">
      <c r="A29" s="41" t="s">
        <v>11</v>
      </c>
      <c r="B29" s="14"/>
      <c r="C29" s="14"/>
      <c r="D29" s="14"/>
      <c r="E29" s="14"/>
      <c r="G29" s="14"/>
      <c r="H29" s="10"/>
      <c r="I29" s="10"/>
      <c r="J29" s="18"/>
    </row>
    <row r="30" spans="1:11" x14ac:dyDescent="0.2">
      <c r="A30" s="37">
        <f>2*$B$8</f>
        <v>2</v>
      </c>
      <c r="B30" s="37">
        <f>$B$8</f>
        <v>1</v>
      </c>
      <c r="C30" s="37">
        <f>$B$8</f>
        <v>1</v>
      </c>
      <c r="D30" s="37"/>
      <c r="E30" s="40">
        <f>$B$7-(E9*$B$14)</f>
        <v>90</v>
      </c>
      <c r="G30" s="10">
        <f t="array" ref="G30:G32">MMULT(MINVERSE(A30:C32),E30:E32)</f>
        <v>22.5</v>
      </c>
      <c r="H30" s="14"/>
    </row>
    <row r="31" spans="1:11" x14ac:dyDescent="0.2">
      <c r="A31" s="37">
        <f>$B$8</f>
        <v>1</v>
      </c>
      <c r="B31" s="37">
        <f>2*$B$8</f>
        <v>2</v>
      </c>
      <c r="C31" s="37">
        <f>$B$8</f>
        <v>1</v>
      </c>
      <c r="D31" s="37"/>
      <c r="E31" s="40">
        <f>$B$7-E11</f>
        <v>90</v>
      </c>
      <c r="G31" s="10">
        <v>22.5</v>
      </c>
      <c r="H31" s="14"/>
    </row>
    <row r="32" spans="1:11" x14ac:dyDescent="0.2">
      <c r="A32" s="37">
        <f>$B$8</f>
        <v>1</v>
      </c>
      <c r="B32" s="37">
        <f>$B$8</f>
        <v>1</v>
      </c>
      <c r="C32" s="37">
        <f>2*$B$8</f>
        <v>2</v>
      </c>
      <c r="D32" s="37"/>
      <c r="E32" s="40">
        <f>$B$7-E12</f>
        <v>90</v>
      </c>
      <c r="G32" s="10">
        <v>22.5</v>
      </c>
      <c r="H32" s="14"/>
    </row>
    <row r="33" spans="1:9" x14ac:dyDescent="0.2">
      <c r="A33" s="14"/>
      <c r="B33" s="14"/>
      <c r="C33" s="14"/>
      <c r="D33" s="14"/>
      <c r="E33" s="14"/>
      <c r="F33" s="40"/>
      <c r="G33" s="14"/>
      <c r="H33" s="10"/>
      <c r="I33" s="14"/>
    </row>
    <row r="34" spans="1:9" x14ac:dyDescent="0.2">
      <c r="A34" s="14"/>
      <c r="B34" s="14"/>
      <c r="C34" s="14"/>
      <c r="D34" s="14"/>
      <c r="E34" s="14"/>
    </row>
  </sheetData>
  <mergeCells count="6">
    <mergeCell ref="C7:I7"/>
    <mergeCell ref="C14:I14"/>
    <mergeCell ref="A2:I2"/>
    <mergeCell ref="A3:I3"/>
    <mergeCell ref="C5:I5"/>
    <mergeCell ref="C6:I6"/>
  </mergeCells>
  <phoneticPr fontId="1" type="noConversion"/>
  <pageMargins left="0.25" right="0.25" top="0.75" bottom="0.75" header="0.3" footer="0.3"/>
  <pageSetup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"/>
  <sheetViews>
    <sheetView workbookViewId="0">
      <selection activeCell="B7" sqref="B7"/>
    </sheetView>
  </sheetViews>
  <sheetFormatPr defaultColWidth="7.7109375" defaultRowHeight="18.75" x14ac:dyDescent="0.2"/>
  <cols>
    <col min="1" max="1" width="8" style="11" customWidth="1"/>
    <col min="2" max="2" width="15.5703125" style="42" customWidth="1"/>
    <col min="3" max="3" width="7.7109375" style="12" customWidth="1"/>
    <col min="4" max="4" width="16.42578125" style="12" customWidth="1"/>
    <col min="5" max="5" width="13.42578125" style="13" customWidth="1"/>
    <col min="6" max="6" width="8.42578125" style="14" customWidth="1"/>
    <col min="7" max="7" width="16.42578125" style="13" customWidth="1"/>
    <col min="8" max="8" width="6.85546875" style="9" customWidth="1"/>
    <col min="9" max="9" width="16" style="9" customWidth="1"/>
    <col min="10" max="10" width="10.42578125" style="9" customWidth="1"/>
    <col min="11" max="11" width="16" style="9" customWidth="1"/>
    <col min="12" max="16384" width="7.7109375" style="9"/>
  </cols>
  <sheetData>
    <row r="1" spans="1:11" s="3" customFormat="1" x14ac:dyDescent="0.2">
      <c r="A1" s="1" t="s">
        <v>34</v>
      </c>
      <c r="B1" s="2"/>
      <c r="D1" s="4"/>
      <c r="E1" s="5"/>
      <c r="F1" s="6"/>
      <c r="G1" s="5"/>
      <c r="J1" s="3" t="s">
        <v>1</v>
      </c>
    </row>
    <row r="2" spans="1:11" s="7" customFormat="1" ht="36.75" customHeight="1" x14ac:dyDescent="0.2">
      <c r="A2" s="56" t="s">
        <v>35</v>
      </c>
      <c r="B2" s="56"/>
      <c r="C2" s="56"/>
      <c r="D2" s="56"/>
      <c r="E2" s="56"/>
      <c r="F2" s="56"/>
      <c r="G2" s="56"/>
      <c r="H2" s="56"/>
      <c r="I2" s="56"/>
    </row>
    <row r="3" spans="1:11" s="8" customFormat="1" ht="36" customHeight="1" x14ac:dyDescent="0.2">
      <c r="A3" s="57" t="s">
        <v>21</v>
      </c>
      <c r="B3" s="57"/>
      <c r="C3" s="57"/>
      <c r="D3" s="57"/>
      <c r="E3" s="57"/>
      <c r="F3" s="57"/>
      <c r="G3" s="57"/>
      <c r="H3" s="57"/>
      <c r="I3" s="57"/>
    </row>
    <row r="4" spans="1:11" x14ac:dyDescent="0.2">
      <c r="A4" s="9"/>
      <c r="B4" s="10"/>
      <c r="C4" s="11"/>
    </row>
    <row r="5" spans="1:11" x14ac:dyDescent="0.2">
      <c r="A5" s="9"/>
      <c r="B5" s="10"/>
      <c r="C5" s="58" t="str">
        <f>"P = "&amp;B7&amp;" - "&amp;B8&amp;"Q"</f>
        <v>P = 100 - 1Q</v>
      </c>
      <c r="D5" s="58"/>
      <c r="E5" s="58"/>
      <c r="F5" s="58"/>
      <c r="G5" s="58"/>
      <c r="H5" s="58"/>
      <c r="I5" s="58"/>
      <c r="J5" s="15"/>
    </row>
    <row r="6" spans="1:11" x14ac:dyDescent="0.2">
      <c r="A6" s="9"/>
      <c r="B6" s="10"/>
      <c r="C6" s="59" t="str">
        <f>"Cost efficiencies: e = "&amp;$B$14&amp;" (post-merger: c1*e)"</f>
        <v>Cost efficiencies: e = 1 (post-merger: c1*e)</v>
      </c>
      <c r="D6" s="59"/>
      <c r="E6" s="59"/>
      <c r="F6" s="59"/>
      <c r="G6" s="59"/>
      <c r="H6" s="59"/>
      <c r="I6" s="59"/>
      <c r="J6" s="15"/>
    </row>
    <row r="7" spans="1:11" x14ac:dyDescent="0.2">
      <c r="A7" s="47" t="s">
        <v>12</v>
      </c>
      <c r="B7" s="17">
        <v>100</v>
      </c>
      <c r="C7" s="53" t="s">
        <v>18</v>
      </c>
      <c r="D7" s="54"/>
      <c r="E7" s="54"/>
      <c r="F7" s="54"/>
      <c r="G7" s="54"/>
      <c r="H7" s="54"/>
      <c r="I7" s="55"/>
      <c r="J7" s="18"/>
    </row>
    <row r="8" spans="1:11" x14ac:dyDescent="0.2">
      <c r="A8" s="47" t="s">
        <v>2</v>
      </c>
      <c r="B8" s="19">
        <v>1</v>
      </c>
      <c r="C8" s="20" t="s">
        <v>15</v>
      </c>
      <c r="D8" s="21" t="s">
        <v>0</v>
      </c>
      <c r="E8" s="21" t="s">
        <v>23</v>
      </c>
      <c r="F8" s="45" t="s">
        <v>20</v>
      </c>
      <c r="G8" s="21" t="s">
        <v>38</v>
      </c>
      <c r="H8" s="48" t="s">
        <v>16</v>
      </c>
      <c r="I8" s="23">
        <f>SUM(D9:D13)</f>
        <v>70</v>
      </c>
      <c r="J8" s="18"/>
      <c r="K8" s="18"/>
    </row>
    <row r="9" spans="1:11" x14ac:dyDescent="0.2">
      <c r="A9" s="47" t="s">
        <v>24</v>
      </c>
      <c r="B9" s="24">
        <v>14</v>
      </c>
      <c r="C9" s="25">
        <v>1</v>
      </c>
      <c r="D9" s="26">
        <f>$B$9</f>
        <v>14</v>
      </c>
      <c r="E9" s="26">
        <f>B23</f>
        <v>16</v>
      </c>
      <c r="F9" s="27">
        <f>$B$9/($B$9+$B$10+$B$11+$B$12+$B$13)</f>
        <v>0.2</v>
      </c>
      <c r="G9" s="26">
        <f>($I$9-E9)*D9</f>
        <v>196</v>
      </c>
      <c r="H9" s="48" t="s">
        <v>17</v>
      </c>
      <c r="I9" s="28">
        <f>$B$7-$B$8*I8</f>
        <v>30</v>
      </c>
      <c r="J9" s="18"/>
      <c r="K9" s="18"/>
    </row>
    <row r="10" spans="1:11" x14ac:dyDescent="0.2">
      <c r="A10" s="47" t="s">
        <v>25</v>
      </c>
      <c r="B10" s="24">
        <v>14</v>
      </c>
      <c r="C10" s="25">
        <v>2</v>
      </c>
      <c r="D10" s="26">
        <f>$B$10</f>
        <v>14</v>
      </c>
      <c r="E10" s="26">
        <f>B24</f>
        <v>16</v>
      </c>
      <c r="F10" s="27">
        <f>$B$10/($B$9+$B$10+$B$11+$B$12+$B$13)</f>
        <v>0.2</v>
      </c>
      <c r="G10" s="26">
        <f>($I$9-E10)*D10</f>
        <v>196</v>
      </c>
      <c r="H10" s="48" t="s">
        <v>7</v>
      </c>
      <c r="I10" s="23">
        <f>SUM(G9:G13)</f>
        <v>980</v>
      </c>
      <c r="J10" s="18"/>
      <c r="K10" s="18"/>
    </row>
    <row r="11" spans="1:11" x14ac:dyDescent="0.2">
      <c r="A11" s="47" t="s">
        <v>26</v>
      </c>
      <c r="B11" s="24">
        <v>14</v>
      </c>
      <c r="C11" s="25">
        <v>3</v>
      </c>
      <c r="D11" s="26">
        <f>$B$11</f>
        <v>14</v>
      </c>
      <c r="E11" s="26">
        <f>B25</f>
        <v>16</v>
      </c>
      <c r="F11" s="27">
        <f>$B$11/($B$9+$B$10+$B$11+$B$12+$B$13)</f>
        <v>0.2</v>
      </c>
      <c r="G11" s="26">
        <f>($I$9-E11)*D11</f>
        <v>196</v>
      </c>
      <c r="H11" s="49" t="s">
        <v>8</v>
      </c>
      <c r="I11" s="30">
        <f>0.5*($B$7 - I9)*I8</f>
        <v>2450</v>
      </c>
      <c r="J11" s="18"/>
      <c r="K11" s="18"/>
    </row>
    <row r="12" spans="1:11" x14ac:dyDescent="0.2">
      <c r="A12" s="47" t="s">
        <v>27</v>
      </c>
      <c r="B12" s="24">
        <v>14</v>
      </c>
      <c r="C12" s="25">
        <v>4</v>
      </c>
      <c r="D12" s="26">
        <f>$B$12</f>
        <v>14</v>
      </c>
      <c r="E12" s="26">
        <f>B26</f>
        <v>16</v>
      </c>
      <c r="F12" s="27">
        <f>$B$12/($B$9+$B$10+$B$11+$B$12+$B$13)</f>
        <v>0.2</v>
      </c>
      <c r="G12" s="26">
        <f>($I$9-E12)*D12</f>
        <v>196</v>
      </c>
      <c r="H12" s="49" t="s">
        <v>9</v>
      </c>
      <c r="I12" s="30">
        <f>SUM(I10:I11)</f>
        <v>3430</v>
      </c>
      <c r="J12" s="18"/>
      <c r="K12" s="18"/>
    </row>
    <row r="13" spans="1:11" x14ac:dyDescent="0.2">
      <c r="A13" s="47" t="s">
        <v>28</v>
      </c>
      <c r="B13" s="24">
        <v>14</v>
      </c>
      <c r="C13" s="25">
        <v>5</v>
      </c>
      <c r="D13" s="26">
        <f>$B$13</f>
        <v>14</v>
      </c>
      <c r="E13" s="26">
        <f>B27</f>
        <v>16</v>
      </c>
      <c r="F13" s="27">
        <f>$B$13/($B$9+$B$10+$B$11+$B$12+$B$13)</f>
        <v>0.2</v>
      </c>
      <c r="G13" s="26">
        <f>($I$9-E13)*D13</f>
        <v>196</v>
      </c>
      <c r="H13" s="49" t="s">
        <v>10</v>
      </c>
      <c r="I13" s="31">
        <f>10000*(F9^2+F10^2+F11^2+F12^2+F13^2)</f>
        <v>2000.0000000000005</v>
      </c>
      <c r="J13" s="18"/>
      <c r="K13" s="18"/>
    </row>
    <row r="14" spans="1:11" x14ac:dyDescent="0.2">
      <c r="A14" s="47" t="s">
        <v>3</v>
      </c>
      <c r="B14" s="19">
        <v>1</v>
      </c>
      <c r="C14" s="53" t="s">
        <v>19</v>
      </c>
      <c r="D14" s="54"/>
      <c r="E14" s="54"/>
      <c r="F14" s="54"/>
      <c r="G14" s="54"/>
      <c r="H14" s="54"/>
      <c r="I14" s="55"/>
      <c r="J14" s="32"/>
    </row>
    <row r="15" spans="1:11" x14ac:dyDescent="0.2">
      <c r="A15" s="47"/>
      <c r="B15" s="19"/>
      <c r="C15" s="20" t="s">
        <v>15</v>
      </c>
      <c r="D15" s="21" t="s">
        <v>0</v>
      </c>
      <c r="E15" s="21" t="s">
        <v>23</v>
      </c>
      <c r="F15" s="45" t="s">
        <v>20</v>
      </c>
      <c r="G15" s="21" t="s">
        <v>38</v>
      </c>
      <c r="H15" s="48" t="s">
        <v>16</v>
      </c>
      <c r="I15" s="23">
        <f>SUM(D16:D19)</f>
        <v>67.2</v>
      </c>
      <c r="J15" s="51" t="s">
        <v>39</v>
      </c>
      <c r="K15" s="30">
        <f>I15-I8</f>
        <v>-2.7999999999999972</v>
      </c>
    </row>
    <row r="16" spans="1:11" x14ac:dyDescent="0.2">
      <c r="A16" s="47"/>
      <c r="B16" s="19"/>
      <c r="C16" s="25" t="s">
        <v>22</v>
      </c>
      <c r="D16" s="26">
        <f>H30</f>
        <v>16.799999999999979</v>
      </c>
      <c r="E16" s="26">
        <f>E9*$B$14</f>
        <v>16</v>
      </c>
      <c r="F16" s="27">
        <f>D16/($D$16+$D$17+$D$18+$D$19)</f>
        <v>0.24999999999999969</v>
      </c>
      <c r="G16" s="26">
        <f>($I$16-$B$14*E9)*D16</f>
        <v>282.23999999999961</v>
      </c>
      <c r="H16" s="48" t="s">
        <v>17</v>
      </c>
      <c r="I16" s="28">
        <f>$B$7-$B$8*I15</f>
        <v>32.799999999999997</v>
      </c>
      <c r="J16" s="51" t="s">
        <v>40</v>
      </c>
      <c r="K16" s="46">
        <f t="shared" ref="K16:K20" si="0">I16-I9</f>
        <v>2.7999999999999972</v>
      </c>
    </row>
    <row r="17" spans="1:11" x14ac:dyDescent="0.2">
      <c r="A17" s="47"/>
      <c r="B17" s="19"/>
      <c r="C17" s="25">
        <v>3</v>
      </c>
      <c r="D17" s="26">
        <f>H31</f>
        <v>16.800000000000026</v>
      </c>
      <c r="E17" s="26">
        <f>E11</f>
        <v>16</v>
      </c>
      <c r="F17" s="27">
        <f>D17/($D$16+$D$17+$D$18+$D$19)</f>
        <v>0.25000000000000039</v>
      </c>
      <c r="G17" s="26">
        <f>($I$16-E11)*D17</f>
        <v>282.24000000000041</v>
      </c>
      <c r="H17" s="48" t="s">
        <v>7</v>
      </c>
      <c r="I17" s="23">
        <f>SUM(G16:G19)</f>
        <v>1128.9599999999998</v>
      </c>
      <c r="J17" s="51" t="s">
        <v>41</v>
      </c>
      <c r="K17" s="30">
        <f t="shared" si="0"/>
        <v>148.95999999999981</v>
      </c>
    </row>
    <row r="18" spans="1:11" x14ac:dyDescent="0.2">
      <c r="A18" s="47"/>
      <c r="B18" s="19"/>
      <c r="C18" s="25">
        <v>4</v>
      </c>
      <c r="D18" s="26">
        <f>H32</f>
        <v>16.79999999999999</v>
      </c>
      <c r="E18" s="26">
        <f>E12</f>
        <v>16</v>
      </c>
      <c r="F18" s="27">
        <f>D18/($D$16+$D$17+$D$18+$D$19)</f>
        <v>0.24999999999999983</v>
      </c>
      <c r="G18" s="26">
        <f>($I$16-E12)*D18</f>
        <v>282.23999999999978</v>
      </c>
      <c r="H18" s="49" t="s">
        <v>8</v>
      </c>
      <c r="I18" s="30">
        <f>0.5*($B$7 - I16)*I15</f>
        <v>2257.92</v>
      </c>
      <c r="J18" s="51" t="s">
        <v>42</v>
      </c>
      <c r="K18" s="30">
        <f t="shared" si="0"/>
        <v>-192.07999999999993</v>
      </c>
    </row>
    <row r="19" spans="1:11" x14ac:dyDescent="0.2">
      <c r="A19" s="47"/>
      <c r="B19" s="19"/>
      <c r="C19" s="25">
        <v>5</v>
      </c>
      <c r="D19" s="26">
        <f>H33</f>
        <v>16.800000000000004</v>
      </c>
      <c r="E19" s="26">
        <f>E13</f>
        <v>16</v>
      </c>
      <c r="F19" s="27">
        <f>D19/($D$16+$D$17+$D$18+$D$19)</f>
        <v>0.25000000000000006</v>
      </c>
      <c r="G19" s="26">
        <f>($I$16-E13)*D19</f>
        <v>282.24</v>
      </c>
      <c r="H19" s="49" t="s">
        <v>9</v>
      </c>
      <c r="I19" s="30">
        <f>SUM(I17:I18)</f>
        <v>3386.88</v>
      </c>
      <c r="J19" s="51" t="s">
        <v>43</v>
      </c>
      <c r="K19" s="30">
        <f t="shared" si="0"/>
        <v>-43.119999999999891</v>
      </c>
    </row>
    <row r="20" spans="1:11" x14ac:dyDescent="0.2">
      <c r="A20" s="47"/>
      <c r="B20" s="19"/>
      <c r="C20" s="25"/>
      <c r="D20" s="26"/>
      <c r="E20" s="26"/>
      <c r="F20" s="27"/>
      <c r="G20" s="26"/>
      <c r="H20" s="49" t="s">
        <v>10</v>
      </c>
      <c r="I20" s="31">
        <f>10000*(F16^2+F17^2+F18^2+F19^2)</f>
        <v>2500</v>
      </c>
      <c r="J20" s="51" t="s">
        <v>44</v>
      </c>
      <c r="K20" s="31">
        <f t="shared" si="0"/>
        <v>499.99999999999955</v>
      </c>
    </row>
    <row r="21" spans="1:11" x14ac:dyDescent="0.2">
      <c r="A21" s="16"/>
      <c r="B21" s="19"/>
      <c r="C21" s="33"/>
      <c r="D21" s="33"/>
      <c r="E21" s="34"/>
      <c r="F21" s="35"/>
      <c r="G21" s="34"/>
      <c r="H21" s="32"/>
      <c r="I21" s="32"/>
      <c r="J21" s="32"/>
    </row>
    <row r="22" spans="1:11" x14ac:dyDescent="0.2">
      <c r="A22" s="36" t="s">
        <v>29</v>
      </c>
      <c r="B22" s="37"/>
      <c r="C22" s="38"/>
      <c r="D22" s="37"/>
      <c r="E22" s="38"/>
      <c r="F22" s="18"/>
      <c r="G22" s="18"/>
      <c r="J22" s="39"/>
    </row>
    <row r="23" spans="1:11" x14ac:dyDescent="0.2">
      <c r="A23" s="37" t="s">
        <v>4</v>
      </c>
      <c r="B23" s="37">
        <f>$B$7-$B$8*(2*$B$9+$B$10+$B$11+$B$12+$B$13)</f>
        <v>16</v>
      </c>
      <c r="C23" s="37"/>
      <c r="D23" s="37"/>
      <c r="E23" s="37"/>
      <c r="F23" s="40"/>
      <c r="G23" s="40"/>
      <c r="H23" s="10"/>
      <c r="I23" s="10"/>
      <c r="J23" s="39"/>
    </row>
    <row r="24" spans="1:11" x14ac:dyDescent="0.2">
      <c r="A24" s="37" t="s">
        <v>5</v>
      </c>
      <c r="B24" s="37">
        <f>$B$7-$B$8*($B$9+2*$B$10+$B$11+$B$12+$B$13)</f>
        <v>16</v>
      </c>
      <c r="C24" s="37"/>
      <c r="D24" s="37"/>
      <c r="E24" s="37"/>
      <c r="F24" s="40"/>
      <c r="G24" s="40"/>
      <c r="H24" s="10"/>
      <c r="I24" s="10"/>
      <c r="J24" s="39"/>
    </row>
    <row r="25" spans="1:11" x14ac:dyDescent="0.2">
      <c r="A25" s="37" t="s">
        <v>6</v>
      </c>
      <c r="B25" s="37">
        <f>$B$7-$B$8*($B$9+$B$10+2*$B$11+$B$12+$B$13)</f>
        <v>16</v>
      </c>
      <c r="C25" s="37"/>
      <c r="D25" s="37"/>
      <c r="E25" s="37"/>
      <c r="F25" s="40"/>
      <c r="G25" s="40"/>
      <c r="H25" s="10"/>
      <c r="I25" s="10"/>
      <c r="J25" s="39"/>
    </row>
    <row r="26" spans="1:11" x14ac:dyDescent="0.2">
      <c r="A26" s="37" t="s">
        <v>13</v>
      </c>
      <c r="B26" s="37">
        <f>$B$7-$B$8*($B$9+$B$10+$B$11+2*$B$12+$B$13)</f>
        <v>16</v>
      </c>
      <c r="C26" s="14"/>
      <c r="D26" s="14"/>
      <c r="E26" s="14"/>
      <c r="G26" s="40"/>
      <c r="H26" s="10"/>
      <c r="I26" s="10"/>
      <c r="J26" s="18"/>
    </row>
    <row r="27" spans="1:11" x14ac:dyDescent="0.2">
      <c r="A27" s="37" t="s">
        <v>14</v>
      </c>
      <c r="B27" s="37">
        <f>$B$7-$B$8*($B$9+$B$10+$B$11+$B$12+2*$B$13)</f>
        <v>16</v>
      </c>
      <c r="C27" s="14"/>
      <c r="D27" s="14"/>
      <c r="E27" s="14"/>
      <c r="G27" s="40"/>
      <c r="H27" s="10"/>
      <c r="I27" s="10"/>
      <c r="J27" s="18"/>
    </row>
    <row r="28" spans="1:11" x14ac:dyDescent="0.2">
      <c r="A28" s="14"/>
      <c r="B28" s="14"/>
      <c r="C28" s="14"/>
      <c r="D28" s="14"/>
      <c r="E28" s="14"/>
      <c r="G28" s="14"/>
      <c r="H28" s="10"/>
      <c r="I28" s="10"/>
      <c r="J28" s="18"/>
    </row>
    <row r="29" spans="1:11" x14ac:dyDescent="0.2">
      <c r="A29" s="41" t="s">
        <v>11</v>
      </c>
      <c r="B29" s="14"/>
      <c r="C29" s="14"/>
      <c r="D29" s="14"/>
      <c r="E29" s="14"/>
      <c r="G29" s="14"/>
      <c r="H29" s="10"/>
      <c r="I29" s="10"/>
      <c r="J29" s="18"/>
    </row>
    <row r="30" spans="1:11" x14ac:dyDescent="0.2">
      <c r="A30" s="37">
        <f>2*$B$8</f>
        <v>2</v>
      </c>
      <c r="B30" s="37">
        <f>$B$8</f>
        <v>1</v>
      </c>
      <c r="C30" s="37">
        <f>$B$8</f>
        <v>1</v>
      </c>
      <c r="D30" s="37">
        <f>$B$8</f>
        <v>1</v>
      </c>
      <c r="E30" s="37"/>
      <c r="F30" s="40">
        <f>$B$7-(E9*$B$14)</f>
        <v>84</v>
      </c>
      <c r="G30" s="14"/>
      <c r="H30" s="10">
        <f t="array" ref="H30:H33">MMULT(MINVERSE(A30:D33),F30:F33)</f>
        <v>16.799999999999979</v>
      </c>
      <c r="I30" s="14"/>
    </row>
    <row r="31" spans="1:11" x14ac:dyDescent="0.2">
      <c r="A31" s="37">
        <f>$B$8</f>
        <v>1</v>
      </c>
      <c r="B31" s="37">
        <f>2*$B$8</f>
        <v>2</v>
      </c>
      <c r="C31" s="37">
        <f>$B$8</f>
        <v>1</v>
      </c>
      <c r="D31" s="37">
        <f>$B$8</f>
        <v>1</v>
      </c>
      <c r="E31" s="37"/>
      <c r="F31" s="40">
        <f>$B$7-E11</f>
        <v>84</v>
      </c>
      <c r="G31" s="14"/>
      <c r="H31" s="10">
        <v>16.800000000000026</v>
      </c>
      <c r="I31" s="14"/>
    </row>
    <row r="32" spans="1:11" x14ac:dyDescent="0.2">
      <c r="A32" s="37">
        <f>$B$8</f>
        <v>1</v>
      </c>
      <c r="B32" s="37">
        <f>$B$8</f>
        <v>1</v>
      </c>
      <c r="C32" s="37">
        <f>2*$B$8</f>
        <v>2</v>
      </c>
      <c r="D32" s="37">
        <f>$B$8</f>
        <v>1</v>
      </c>
      <c r="E32" s="37"/>
      <c r="F32" s="40">
        <f>$B$7-E12</f>
        <v>84</v>
      </c>
      <c r="G32" s="14"/>
      <c r="H32" s="10">
        <v>16.79999999999999</v>
      </c>
      <c r="I32" s="14"/>
    </row>
    <row r="33" spans="1:9" x14ac:dyDescent="0.2">
      <c r="A33" s="14">
        <f>$B$8</f>
        <v>1</v>
      </c>
      <c r="B33" s="14">
        <f>$B$8</f>
        <v>1</v>
      </c>
      <c r="C33" s="14">
        <f>$B$8</f>
        <v>1</v>
      </c>
      <c r="D33" s="14">
        <f>2*$B$8</f>
        <v>2</v>
      </c>
      <c r="E33" s="14"/>
      <c r="F33" s="40">
        <f>$B$7-E13</f>
        <v>84</v>
      </c>
      <c r="G33" s="14"/>
      <c r="H33" s="10">
        <v>16.800000000000004</v>
      </c>
      <c r="I33" s="14"/>
    </row>
    <row r="34" spans="1:9" x14ac:dyDescent="0.2">
      <c r="A34" s="14"/>
      <c r="B34" s="14"/>
      <c r="C34" s="14"/>
      <c r="D34" s="14"/>
      <c r="E34" s="14"/>
    </row>
  </sheetData>
  <mergeCells count="6">
    <mergeCell ref="C7:I7"/>
    <mergeCell ref="C14:I14"/>
    <mergeCell ref="A2:I2"/>
    <mergeCell ref="A3:I3"/>
    <mergeCell ref="C5:I5"/>
    <mergeCell ref="C6:I6"/>
  </mergeCells>
  <phoneticPr fontId="1" type="noConversion"/>
  <pageMargins left="0.25" right="0.25" top="0.75" bottom="0.75" header="0.3" footer="0.3"/>
  <pageSetup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"/>
  <sheetViews>
    <sheetView workbookViewId="0">
      <selection activeCell="B7" sqref="B7"/>
    </sheetView>
  </sheetViews>
  <sheetFormatPr defaultColWidth="7.7109375" defaultRowHeight="18.75" x14ac:dyDescent="0.2"/>
  <cols>
    <col min="1" max="1" width="8" style="11" customWidth="1"/>
    <col min="2" max="2" width="15.5703125" style="42" customWidth="1"/>
    <col min="3" max="3" width="7.7109375" style="12" customWidth="1"/>
    <col min="4" max="4" width="16.42578125" style="12" customWidth="1"/>
    <col min="5" max="5" width="13.42578125" style="13" customWidth="1"/>
    <col min="6" max="6" width="8.42578125" style="14" customWidth="1"/>
    <col min="7" max="7" width="16.42578125" style="13" customWidth="1"/>
    <col min="8" max="8" width="6.85546875" style="9" customWidth="1"/>
    <col min="9" max="9" width="16" style="9" customWidth="1"/>
    <col min="10" max="10" width="10.42578125" style="9" customWidth="1"/>
    <col min="11" max="11" width="16" style="9" customWidth="1"/>
    <col min="12" max="16384" width="7.7109375" style="9"/>
  </cols>
  <sheetData>
    <row r="1" spans="1:11" s="3" customFormat="1" x14ac:dyDescent="0.2">
      <c r="A1" s="1" t="s">
        <v>34</v>
      </c>
      <c r="B1" s="2"/>
      <c r="D1" s="4"/>
      <c r="E1" s="5"/>
      <c r="F1" s="6"/>
      <c r="G1" s="5"/>
      <c r="J1" s="3" t="s">
        <v>1</v>
      </c>
    </row>
    <row r="2" spans="1:11" s="7" customFormat="1" ht="36.75" customHeight="1" x14ac:dyDescent="0.2">
      <c r="A2" s="56" t="s">
        <v>36</v>
      </c>
      <c r="B2" s="56"/>
      <c r="C2" s="56"/>
      <c r="D2" s="56"/>
      <c r="E2" s="56"/>
      <c r="F2" s="56"/>
      <c r="G2" s="56"/>
      <c r="H2" s="56"/>
      <c r="I2" s="56"/>
    </row>
    <row r="3" spans="1:11" s="8" customFormat="1" ht="36" customHeight="1" x14ac:dyDescent="0.2">
      <c r="A3" s="57" t="s">
        <v>21</v>
      </c>
      <c r="B3" s="57"/>
      <c r="C3" s="57"/>
      <c r="D3" s="57"/>
      <c r="E3" s="57"/>
      <c r="F3" s="57"/>
      <c r="G3" s="57"/>
      <c r="H3" s="57"/>
      <c r="I3" s="57"/>
    </row>
    <row r="4" spans="1:11" x14ac:dyDescent="0.2">
      <c r="A4" s="9"/>
      <c r="B4" s="10"/>
      <c r="C4" s="11"/>
    </row>
    <row r="5" spans="1:11" x14ac:dyDescent="0.2">
      <c r="A5" s="9"/>
      <c r="B5" s="10"/>
      <c r="C5" s="58" t="str">
        <f>"P = "&amp;B7&amp;" - "&amp;B8&amp;"Q"</f>
        <v>P = 100 - 1Q</v>
      </c>
      <c r="D5" s="58"/>
      <c r="E5" s="58"/>
      <c r="F5" s="58"/>
      <c r="G5" s="58"/>
      <c r="H5" s="58"/>
      <c r="I5" s="58"/>
      <c r="J5" s="15"/>
    </row>
    <row r="6" spans="1:11" x14ac:dyDescent="0.2">
      <c r="A6" s="9"/>
      <c r="B6" s="10"/>
      <c r="C6" s="59" t="str">
        <f>"Cost efficiencies: e = "&amp;$B$15&amp;" (post-merger: c1*e)"</f>
        <v>Cost efficiencies: e = 1 (post-merger: c1*e)</v>
      </c>
      <c r="D6" s="59"/>
      <c r="E6" s="59"/>
      <c r="F6" s="59"/>
      <c r="G6" s="59"/>
      <c r="H6" s="59"/>
      <c r="I6" s="59"/>
      <c r="J6" s="15"/>
    </row>
    <row r="7" spans="1:11" x14ac:dyDescent="0.2">
      <c r="A7" s="47" t="s">
        <v>12</v>
      </c>
      <c r="B7" s="17">
        <v>100</v>
      </c>
      <c r="C7" s="53" t="s">
        <v>18</v>
      </c>
      <c r="D7" s="54"/>
      <c r="E7" s="54"/>
      <c r="F7" s="54"/>
      <c r="G7" s="54"/>
      <c r="H7" s="54"/>
      <c r="I7" s="55"/>
      <c r="J7" s="18"/>
    </row>
    <row r="8" spans="1:11" x14ac:dyDescent="0.2">
      <c r="A8" s="47" t="s">
        <v>2</v>
      </c>
      <c r="B8" s="19">
        <v>1</v>
      </c>
      <c r="C8" s="20" t="s">
        <v>15</v>
      </c>
      <c r="D8" s="21" t="s">
        <v>0</v>
      </c>
      <c r="E8" s="21" t="s">
        <v>23</v>
      </c>
      <c r="F8" s="45" t="s">
        <v>20</v>
      </c>
      <c r="G8" s="21" t="s">
        <v>38</v>
      </c>
      <c r="H8" s="48" t="s">
        <v>16</v>
      </c>
      <c r="I8" s="23">
        <f>SUM(D9:D14)</f>
        <v>72</v>
      </c>
      <c r="J8" s="18"/>
      <c r="K8" s="18"/>
    </row>
    <row r="9" spans="1:11" x14ac:dyDescent="0.2">
      <c r="A9" s="47" t="s">
        <v>24</v>
      </c>
      <c r="B9" s="24">
        <v>12</v>
      </c>
      <c r="C9" s="25">
        <v>1</v>
      </c>
      <c r="D9" s="26">
        <f>$B$9</f>
        <v>12</v>
      </c>
      <c r="E9" s="26">
        <f t="shared" ref="E9:E14" si="0">B25</f>
        <v>16</v>
      </c>
      <c r="F9" s="27">
        <f>$B$9/($B$9+$B$10+$B$11+$B$12+$B$13+$B$14)</f>
        <v>0.16666666666666666</v>
      </c>
      <c r="G9" s="26">
        <f t="shared" ref="G9:G13" si="1">($I$9-E9)*D9</f>
        <v>144</v>
      </c>
      <c r="H9" s="48" t="s">
        <v>17</v>
      </c>
      <c r="I9" s="28">
        <f>$B$7-$B$8*I8</f>
        <v>28</v>
      </c>
      <c r="J9" s="18"/>
      <c r="K9" s="18"/>
    </row>
    <row r="10" spans="1:11" x14ac:dyDescent="0.2">
      <c r="A10" s="47" t="s">
        <v>25</v>
      </c>
      <c r="B10" s="24">
        <v>12</v>
      </c>
      <c r="C10" s="25">
        <v>2</v>
      </c>
      <c r="D10" s="26">
        <f>$B$10</f>
        <v>12</v>
      </c>
      <c r="E10" s="26">
        <f t="shared" si="0"/>
        <v>16</v>
      </c>
      <c r="F10" s="27">
        <f>$B$10/($B$9+$B$10+$B$11+$B$12+$B$13+$B$14)</f>
        <v>0.16666666666666666</v>
      </c>
      <c r="G10" s="26">
        <f t="shared" si="1"/>
        <v>144</v>
      </c>
      <c r="H10" s="48" t="s">
        <v>7</v>
      </c>
      <c r="I10" s="23">
        <f>SUM(G9:G14)</f>
        <v>864</v>
      </c>
      <c r="J10" s="18"/>
      <c r="K10" s="18"/>
    </row>
    <row r="11" spans="1:11" x14ac:dyDescent="0.2">
      <c r="A11" s="47" t="s">
        <v>26</v>
      </c>
      <c r="B11" s="24">
        <v>12</v>
      </c>
      <c r="C11" s="25">
        <v>3</v>
      </c>
      <c r="D11" s="26">
        <f>$B$11</f>
        <v>12</v>
      </c>
      <c r="E11" s="26">
        <f t="shared" si="0"/>
        <v>16</v>
      </c>
      <c r="F11" s="27">
        <f>$B$11/($B$9+$B$10+$B$11+$B$12+$B$13+$B$14)</f>
        <v>0.16666666666666666</v>
      </c>
      <c r="G11" s="26">
        <f t="shared" si="1"/>
        <v>144</v>
      </c>
      <c r="H11" s="49" t="s">
        <v>8</v>
      </c>
      <c r="I11" s="30">
        <f>0.5*($B$7 - I9)*I8</f>
        <v>2592</v>
      </c>
      <c r="J11" s="18"/>
      <c r="K11" s="18"/>
    </row>
    <row r="12" spans="1:11" x14ac:dyDescent="0.2">
      <c r="A12" s="47" t="s">
        <v>27</v>
      </c>
      <c r="B12" s="24">
        <v>12</v>
      </c>
      <c r="C12" s="25">
        <v>4</v>
      </c>
      <c r="D12" s="26">
        <f>$B$12</f>
        <v>12</v>
      </c>
      <c r="E12" s="26">
        <f t="shared" si="0"/>
        <v>16</v>
      </c>
      <c r="F12" s="27">
        <f>$B$12/($B$9+$B$10+$B$11+$B$12+$B$13+$B$14)</f>
        <v>0.16666666666666666</v>
      </c>
      <c r="G12" s="26">
        <f t="shared" si="1"/>
        <v>144</v>
      </c>
      <c r="H12" s="49" t="s">
        <v>9</v>
      </c>
      <c r="I12" s="30">
        <f>SUM(I10:I11)</f>
        <v>3456</v>
      </c>
      <c r="J12" s="18"/>
      <c r="K12" s="18"/>
    </row>
    <row r="13" spans="1:11" x14ac:dyDescent="0.2">
      <c r="A13" s="47" t="s">
        <v>28</v>
      </c>
      <c r="B13" s="24">
        <v>12</v>
      </c>
      <c r="C13" s="25">
        <v>5</v>
      </c>
      <c r="D13" s="26">
        <f>$B$13</f>
        <v>12</v>
      </c>
      <c r="E13" s="26">
        <f t="shared" si="0"/>
        <v>16</v>
      </c>
      <c r="F13" s="27">
        <f>$B$13/($B$9+$B$10+$B$11+$B$12+$B$13+$B$14)</f>
        <v>0.16666666666666666</v>
      </c>
      <c r="G13" s="26">
        <f t="shared" si="1"/>
        <v>144</v>
      </c>
      <c r="H13" s="49" t="s">
        <v>10</v>
      </c>
      <c r="I13" s="31">
        <f>10000*(F9^2+F10^2+F11^2+F12^2+F13^2+F14^2)</f>
        <v>1666.6666666666667</v>
      </c>
      <c r="J13" s="18"/>
      <c r="K13" s="18"/>
    </row>
    <row r="14" spans="1:11" x14ac:dyDescent="0.2">
      <c r="A14" s="47" t="s">
        <v>31</v>
      </c>
      <c r="B14" s="24">
        <v>12</v>
      </c>
      <c r="C14" s="25">
        <v>6</v>
      </c>
      <c r="D14" s="26">
        <f>$B$14</f>
        <v>12</v>
      </c>
      <c r="E14" s="26">
        <f t="shared" si="0"/>
        <v>16</v>
      </c>
      <c r="F14" s="27">
        <f>$B$14/($B$9+$B$10+$B$11+$B$12+$B$13+$B$14)</f>
        <v>0.16666666666666666</v>
      </c>
      <c r="G14" s="26">
        <f>($I$9-E14)*D14</f>
        <v>144</v>
      </c>
      <c r="H14" s="43"/>
      <c r="I14" s="44"/>
      <c r="J14" s="18"/>
      <c r="K14" s="18"/>
    </row>
    <row r="15" spans="1:11" x14ac:dyDescent="0.2">
      <c r="A15" s="47" t="s">
        <v>3</v>
      </c>
      <c r="B15" s="19">
        <v>1</v>
      </c>
      <c r="C15" s="53" t="s">
        <v>19</v>
      </c>
      <c r="D15" s="54"/>
      <c r="E15" s="54"/>
      <c r="F15" s="54"/>
      <c r="G15" s="54"/>
      <c r="H15" s="60"/>
      <c r="I15" s="55"/>
      <c r="J15" s="52"/>
    </row>
    <row r="16" spans="1:11" x14ac:dyDescent="0.2">
      <c r="A16" s="47"/>
      <c r="B16" s="19"/>
      <c r="C16" s="20" t="s">
        <v>15</v>
      </c>
      <c r="D16" s="21" t="s">
        <v>0</v>
      </c>
      <c r="E16" s="21" t="s">
        <v>23</v>
      </c>
      <c r="F16" s="45" t="s">
        <v>20</v>
      </c>
      <c r="G16" s="21" t="s">
        <v>38</v>
      </c>
      <c r="H16" s="48" t="s">
        <v>16</v>
      </c>
      <c r="I16" s="23">
        <f>SUM(D17:D21)</f>
        <v>70</v>
      </c>
      <c r="J16" s="51" t="s">
        <v>39</v>
      </c>
      <c r="K16" s="30">
        <f>'6_to_5_merger'!I16-'6_to_5_merger'!I8</f>
        <v>-2</v>
      </c>
    </row>
    <row r="17" spans="1:11" x14ac:dyDescent="0.2">
      <c r="A17" s="47"/>
      <c r="B17" s="19"/>
      <c r="C17" s="25" t="s">
        <v>22</v>
      </c>
      <c r="D17" s="26">
        <f>H33</f>
        <v>14.000000000000012</v>
      </c>
      <c r="E17" s="26">
        <f>E9*$B$15</f>
        <v>16</v>
      </c>
      <c r="F17" s="27">
        <f>D17/($D$17+$D$18+$D$19+$D$20+$D$21)</f>
        <v>0.20000000000000018</v>
      </c>
      <c r="G17" s="26">
        <f>($I$17-$B$15*E9)*D17</f>
        <v>196.00000000000017</v>
      </c>
      <c r="H17" s="48" t="s">
        <v>17</v>
      </c>
      <c r="I17" s="28">
        <f>$B$7-$B$8*I16</f>
        <v>30</v>
      </c>
      <c r="J17" s="51" t="s">
        <v>40</v>
      </c>
      <c r="K17" s="46">
        <f>I17-I9</f>
        <v>2</v>
      </c>
    </row>
    <row r="18" spans="1:11" x14ac:dyDescent="0.2">
      <c r="A18" s="47"/>
      <c r="B18" s="19"/>
      <c r="C18" s="25">
        <v>3</v>
      </c>
      <c r="D18" s="26">
        <f>H34</f>
        <v>13.999999999999986</v>
      </c>
      <c r="E18" s="26">
        <f>E11</f>
        <v>16</v>
      </c>
      <c r="F18" s="27">
        <f>D18/($D$17+$D$18+$D$19+$D$20+$D$21)</f>
        <v>0.19999999999999979</v>
      </c>
      <c r="G18" s="26">
        <f>($I$17-E11)*D18</f>
        <v>195.9999999999998</v>
      </c>
      <c r="H18" s="48" t="s">
        <v>7</v>
      </c>
      <c r="I18" s="23">
        <f>SUM(G17:G21)</f>
        <v>979.99999999999989</v>
      </c>
      <c r="J18" s="51" t="s">
        <v>41</v>
      </c>
      <c r="K18" s="46">
        <f t="shared" ref="K18:K20" si="2">I18-I10</f>
        <v>115.99999999999989</v>
      </c>
    </row>
    <row r="19" spans="1:11" x14ac:dyDescent="0.2">
      <c r="A19" s="47"/>
      <c r="B19" s="19"/>
      <c r="C19" s="25">
        <v>4</v>
      </c>
      <c r="D19" s="26">
        <f>H35</f>
        <v>13.999999999999993</v>
      </c>
      <c r="E19" s="26">
        <f>E12</f>
        <v>16</v>
      </c>
      <c r="F19" s="27">
        <f>D19/($D$17+$D$18+$D$19+$D$20+$D$21)</f>
        <v>0.1999999999999999</v>
      </c>
      <c r="G19" s="26">
        <f>($I$17-E12)*D19</f>
        <v>195.99999999999989</v>
      </c>
      <c r="H19" s="49" t="s">
        <v>8</v>
      </c>
      <c r="I19" s="30">
        <f>0.5*($B$7 - I17)*I16</f>
        <v>2450</v>
      </c>
      <c r="J19" s="51" t="s">
        <v>42</v>
      </c>
      <c r="K19" s="46">
        <f t="shared" si="2"/>
        <v>-142</v>
      </c>
    </row>
    <row r="20" spans="1:11" x14ac:dyDescent="0.2">
      <c r="A20" s="47"/>
      <c r="B20" s="19"/>
      <c r="C20" s="25">
        <v>5</v>
      </c>
      <c r="D20" s="26">
        <f>H36</f>
        <v>13.999999999999998</v>
      </c>
      <c r="E20" s="26">
        <f>E13</f>
        <v>16</v>
      </c>
      <c r="F20" s="27">
        <f>D20/($D$17+$D$18+$D$19+$D$20+$D$21)</f>
        <v>0.19999999999999998</v>
      </c>
      <c r="G20" s="26">
        <f>($I$17-E13)*D20</f>
        <v>195.99999999999997</v>
      </c>
      <c r="H20" s="49" t="s">
        <v>9</v>
      </c>
      <c r="I20" s="30">
        <f>SUM(I18:I19)</f>
        <v>3430</v>
      </c>
      <c r="J20" s="51" t="s">
        <v>43</v>
      </c>
      <c r="K20" s="46">
        <f t="shared" si="2"/>
        <v>-26</v>
      </c>
    </row>
    <row r="21" spans="1:11" x14ac:dyDescent="0.2">
      <c r="A21" s="16"/>
      <c r="B21" s="19"/>
      <c r="C21" s="25">
        <v>6</v>
      </c>
      <c r="D21" s="26">
        <f>H37</f>
        <v>14</v>
      </c>
      <c r="E21" s="26">
        <f>E14</f>
        <v>16</v>
      </c>
      <c r="F21" s="27">
        <f>D21/($D$17+$D$18+$D$19+$D$20+$D$21)</f>
        <v>0.2</v>
      </c>
      <c r="G21" s="26">
        <f>($I$17-E14)*D21</f>
        <v>196</v>
      </c>
      <c r="H21" s="29"/>
      <c r="I21" s="30"/>
      <c r="J21" s="22"/>
      <c r="K21" s="22"/>
    </row>
    <row r="22" spans="1:11" x14ac:dyDescent="0.2">
      <c r="A22" s="16"/>
      <c r="B22" s="19"/>
      <c r="C22" s="25"/>
      <c r="D22" s="26"/>
      <c r="E22" s="26"/>
      <c r="F22" s="27"/>
      <c r="G22" s="26"/>
      <c r="H22" s="49" t="s">
        <v>10</v>
      </c>
      <c r="I22" s="31">
        <f>10000*(F17^2+F18^2+F19^2+F20^2+F21^2)</f>
        <v>1999.9999999999993</v>
      </c>
      <c r="J22" s="51" t="s">
        <v>44</v>
      </c>
      <c r="K22" s="31">
        <f>I22-I13</f>
        <v>333.33333333333258</v>
      </c>
    </row>
    <row r="23" spans="1:11" x14ac:dyDescent="0.2">
      <c r="A23" s="16"/>
      <c r="B23" s="19"/>
      <c r="C23" s="33"/>
      <c r="D23" s="33"/>
      <c r="E23" s="34"/>
      <c r="F23" s="35"/>
      <c r="G23" s="34"/>
      <c r="H23" s="32"/>
      <c r="I23" s="32"/>
      <c r="J23" s="32"/>
    </row>
    <row r="24" spans="1:11" x14ac:dyDescent="0.2">
      <c r="A24" s="36" t="s">
        <v>29</v>
      </c>
      <c r="B24" s="37"/>
      <c r="C24" s="38"/>
      <c r="D24" s="37"/>
      <c r="E24" s="38"/>
      <c r="F24" s="18"/>
      <c r="G24" s="18"/>
      <c r="J24" s="39"/>
    </row>
    <row r="25" spans="1:11" x14ac:dyDescent="0.2">
      <c r="A25" s="37" t="s">
        <v>4</v>
      </c>
      <c r="B25" s="37">
        <f>$B$7-$B$8*(2*$B$9+$B$10+$B$11+$B$12+$B$13+$B$14)</f>
        <v>16</v>
      </c>
      <c r="C25" s="37"/>
      <c r="D25" s="37"/>
      <c r="E25" s="37"/>
      <c r="F25" s="40"/>
      <c r="G25" s="40"/>
      <c r="H25" s="10"/>
      <c r="I25" s="10"/>
      <c r="J25" s="39"/>
    </row>
    <row r="26" spans="1:11" x14ac:dyDescent="0.2">
      <c r="A26" s="37" t="s">
        <v>5</v>
      </c>
      <c r="B26" s="37">
        <f>$B$7-$B$8*($B$9+2*$B$10+$B$11+$B$12+$B$13+$B$14)</f>
        <v>16</v>
      </c>
      <c r="C26" s="37"/>
      <c r="D26" s="37"/>
      <c r="E26" s="37"/>
      <c r="F26" s="40"/>
      <c r="G26" s="40"/>
      <c r="H26" s="10"/>
      <c r="I26" s="10"/>
      <c r="J26" s="39"/>
    </row>
    <row r="27" spans="1:11" x14ac:dyDescent="0.2">
      <c r="A27" s="37" t="s">
        <v>6</v>
      </c>
      <c r="B27" s="37">
        <f>$B$7-$B$8*($B$9+$B$10+2*$B$11+$B$12+$B$13+$B$14)</f>
        <v>16</v>
      </c>
      <c r="C27" s="37"/>
      <c r="D27" s="37"/>
      <c r="E27" s="37"/>
      <c r="F27" s="40"/>
      <c r="G27" s="40"/>
      <c r="H27" s="10"/>
      <c r="I27" s="10"/>
      <c r="J27" s="39"/>
    </row>
    <row r="28" spans="1:11" x14ac:dyDescent="0.2">
      <c r="A28" s="37" t="s">
        <v>13</v>
      </c>
      <c r="B28" s="37">
        <f>$B$7-$B$8*($B$9+$B$10+$B$11+2*$B$12+$B$13+$B$14)</f>
        <v>16</v>
      </c>
      <c r="C28" s="14"/>
      <c r="D28" s="14"/>
      <c r="E28" s="14"/>
      <c r="G28" s="40"/>
      <c r="H28" s="10"/>
      <c r="I28" s="10"/>
      <c r="J28" s="18"/>
    </row>
    <row r="29" spans="1:11" x14ac:dyDescent="0.2">
      <c r="A29" s="37" t="s">
        <v>14</v>
      </c>
      <c r="B29" s="37">
        <f>$B$7-$B$8*($B$9+$B$10+$B$11+$B$12+2*$B$13+$B$14)</f>
        <v>16</v>
      </c>
      <c r="C29" s="14"/>
      <c r="D29" s="14"/>
      <c r="E29" s="14"/>
      <c r="G29" s="40"/>
      <c r="H29" s="10"/>
      <c r="I29" s="10"/>
      <c r="J29" s="18"/>
    </row>
    <row r="30" spans="1:11" x14ac:dyDescent="0.2">
      <c r="A30" s="37" t="s">
        <v>30</v>
      </c>
      <c r="B30" s="37">
        <f>$B$7-$B$8*($B$9+$B$10+$B$11+$B$12+$B$13+2*$B$14)</f>
        <v>16</v>
      </c>
      <c r="C30" s="14"/>
      <c r="D30" s="14"/>
      <c r="E30" s="14"/>
      <c r="G30" s="40"/>
      <c r="H30" s="10"/>
      <c r="I30" s="10"/>
      <c r="J30" s="18"/>
    </row>
    <row r="31" spans="1:11" x14ac:dyDescent="0.2">
      <c r="A31" s="14"/>
      <c r="B31" s="14"/>
      <c r="C31" s="14"/>
      <c r="D31" s="14"/>
      <c r="E31" s="14"/>
      <c r="G31" s="14"/>
      <c r="H31" s="10"/>
      <c r="I31" s="10"/>
      <c r="J31" s="18"/>
    </row>
    <row r="32" spans="1:11" x14ac:dyDescent="0.2">
      <c r="A32" s="41" t="s">
        <v>11</v>
      </c>
      <c r="B32" s="14"/>
      <c r="C32" s="14"/>
      <c r="D32" s="14"/>
      <c r="E32" s="14"/>
      <c r="G32" s="14"/>
      <c r="H32" s="10"/>
      <c r="I32" s="10"/>
      <c r="J32" s="18"/>
    </row>
    <row r="33" spans="1:9" x14ac:dyDescent="0.2">
      <c r="A33" s="37">
        <f>2*$B$8</f>
        <v>2</v>
      </c>
      <c r="B33" s="37">
        <f>$B$8</f>
        <v>1</v>
      </c>
      <c r="C33" s="37">
        <f>$B$8</f>
        <v>1</v>
      </c>
      <c r="D33" s="37">
        <f>$B$8</f>
        <v>1</v>
      </c>
      <c r="E33" s="14">
        <f>$B$8</f>
        <v>1</v>
      </c>
      <c r="F33" s="40">
        <f>$B$7-(E9*$B$15)</f>
        <v>84</v>
      </c>
      <c r="G33" s="14"/>
      <c r="H33" s="10">
        <f t="array" ref="H33:H37">MMULT(MINVERSE(A33:E37),F33:F37)</f>
        <v>14.000000000000012</v>
      </c>
      <c r="I33" s="14"/>
    </row>
    <row r="34" spans="1:9" x14ac:dyDescent="0.2">
      <c r="A34" s="37">
        <f>$B$8</f>
        <v>1</v>
      </c>
      <c r="B34" s="37">
        <f>2*$B$8</f>
        <v>2</v>
      </c>
      <c r="C34" s="37">
        <f>$B$8</f>
        <v>1</v>
      </c>
      <c r="D34" s="37">
        <f>$B$8</f>
        <v>1</v>
      </c>
      <c r="E34" s="14">
        <f>$B$8</f>
        <v>1</v>
      </c>
      <c r="F34" s="40">
        <f>$B$7-E11</f>
        <v>84</v>
      </c>
      <c r="G34" s="14"/>
      <c r="H34" s="10">
        <v>13.999999999999986</v>
      </c>
      <c r="I34" s="14"/>
    </row>
    <row r="35" spans="1:9" x14ac:dyDescent="0.2">
      <c r="A35" s="37">
        <f>$B$8</f>
        <v>1</v>
      </c>
      <c r="B35" s="37">
        <f>$B$8</f>
        <v>1</v>
      </c>
      <c r="C35" s="37">
        <f>2*$B$8</f>
        <v>2</v>
      </c>
      <c r="D35" s="37">
        <f>$B$8</f>
        <v>1</v>
      </c>
      <c r="E35" s="14">
        <f>$B$8</f>
        <v>1</v>
      </c>
      <c r="F35" s="40">
        <f>$B$7-E12</f>
        <v>84</v>
      </c>
      <c r="G35" s="14"/>
      <c r="H35" s="10">
        <v>13.999999999999993</v>
      </c>
      <c r="I35" s="14"/>
    </row>
    <row r="36" spans="1:9" x14ac:dyDescent="0.2">
      <c r="A36" s="14">
        <f>$B$8</f>
        <v>1</v>
      </c>
      <c r="B36" s="14">
        <f>$B$8</f>
        <v>1</v>
      </c>
      <c r="C36" s="14">
        <f>$B$8</f>
        <v>1</v>
      </c>
      <c r="D36" s="14">
        <f>2*$B$8</f>
        <v>2</v>
      </c>
      <c r="E36" s="14">
        <f>$B$8</f>
        <v>1</v>
      </c>
      <c r="F36" s="40">
        <f>$B$7-E13</f>
        <v>84</v>
      </c>
      <c r="G36" s="14"/>
      <c r="H36" s="10">
        <v>13.999999999999998</v>
      </c>
      <c r="I36" s="14"/>
    </row>
    <row r="37" spans="1:9" x14ac:dyDescent="0.2">
      <c r="A37" s="14">
        <f>$B$8</f>
        <v>1</v>
      </c>
      <c r="B37" s="14">
        <f>$B$8</f>
        <v>1</v>
      </c>
      <c r="C37" s="14">
        <f>$B$8</f>
        <v>1</v>
      </c>
      <c r="D37" s="14">
        <f>$B$8</f>
        <v>1</v>
      </c>
      <c r="E37" s="14">
        <f>2*$B$8</f>
        <v>2</v>
      </c>
      <c r="F37" s="40">
        <f>$B$7-E14</f>
        <v>84</v>
      </c>
      <c r="H37" s="10">
        <v>14</v>
      </c>
    </row>
  </sheetData>
  <mergeCells count="6">
    <mergeCell ref="C7:I7"/>
    <mergeCell ref="C15:I15"/>
    <mergeCell ref="A2:I2"/>
    <mergeCell ref="A3:I3"/>
    <mergeCell ref="C5:I5"/>
    <mergeCell ref="C6:I6"/>
  </mergeCells>
  <phoneticPr fontId="1" type="noConversion"/>
  <pageMargins left="0.25" right="0.25" top="0.75" bottom="0.75" header="0.3" footer="0.3"/>
  <pageSetup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2"/>
  <sheetViews>
    <sheetView workbookViewId="0">
      <selection activeCell="B7" sqref="B7"/>
    </sheetView>
  </sheetViews>
  <sheetFormatPr defaultColWidth="7.7109375" defaultRowHeight="18.75" x14ac:dyDescent="0.2"/>
  <cols>
    <col min="1" max="1" width="8" style="11" customWidth="1"/>
    <col min="2" max="2" width="15.5703125" style="42" customWidth="1"/>
    <col min="3" max="3" width="7.7109375" style="12" customWidth="1"/>
    <col min="4" max="4" width="16.42578125" style="12" customWidth="1"/>
    <col min="5" max="5" width="13.42578125" style="13" customWidth="1"/>
    <col min="6" max="6" width="8.42578125" style="14" customWidth="1"/>
    <col min="7" max="7" width="16.42578125" style="13" customWidth="1"/>
    <col min="8" max="8" width="6.85546875" style="9" customWidth="1"/>
    <col min="9" max="9" width="16" style="9" customWidth="1"/>
    <col min="10" max="10" width="10.42578125" style="9" customWidth="1"/>
    <col min="11" max="11" width="16" style="9" customWidth="1"/>
    <col min="12" max="16384" width="7.7109375" style="9"/>
  </cols>
  <sheetData>
    <row r="1" spans="1:11" s="3" customFormat="1" x14ac:dyDescent="0.2">
      <c r="A1" s="1" t="s">
        <v>34</v>
      </c>
      <c r="B1" s="2"/>
      <c r="D1" s="4"/>
      <c r="E1" s="5"/>
      <c r="F1" s="6"/>
      <c r="G1" s="5"/>
      <c r="J1" s="3" t="s">
        <v>1</v>
      </c>
    </row>
    <row r="2" spans="1:11" s="7" customFormat="1" ht="36.75" customHeight="1" x14ac:dyDescent="0.2">
      <c r="A2" s="56" t="s">
        <v>37</v>
      </c>
      <c r="B2" s="56"/>
      <c r="C2" s="56"/>
      <c r="D2" s="56"/>
      <c r="E2" s="56"/>
      <c r="F2" s="56"/>
      <c r="G2" s="56"/>
      <c r="H2" s="56"/>
      <c r="I2" s="56"/>
    </row>
    <row r="3" spans="1:11" s="8" customFormat="1" ht="36" customHeight="1" x14ac:dyDescent="0.2">
      <c r="A3" s="57" t="s">
        <v>21</v>
      </c>
      <c r="B3" s="57"/>
      <c r="C3" s="57"/>
      <c r="D3" s="57"/>
      <c r="E3" s="57"/>
      <c r="F3" s="57"/>
      <c r="G3" s="57"/>
      <c r="H3" s="57"/>
      <c r="I3" s="57"/>
    </row>
    <row r="4" spans="1:11" x14ac:dyDescent="0.2">
      <c r="A4" s="9"/>
      <c r="B4" s="10"/>
      <c r="C4" s="11"/>
    </row>
    <row r="5" spans="1:11" x14ac:dyDescent="0.2">
      <c r="A5" s="9"/>
      <c r="B5" s="10"/>
      <c r="C5" s="58" t="str">
        <f>"P = "&amp;B7&amp;" - "&amp;B8&amp;"Q"</f>
        <v>P = 100 - 1Q</v>
      </c>
      <c r="D5" s="58"/>
      <c r="E5" s="58"/>
      <c r="F5" s="58"/>
      <c r="G5" s="58"/>
      <c r="H5" s="58"/>
      <c r="I5" s="58"/>
      <c r="J5" s="15"/>
    </row>
    <row r="6" spans="1:11" x14ac:dyDescent="0.2">
      <c r="A6" s="9"/>
      <c r="B6" s="10"/>
      <c r="C6" s="59" t="str">
        <f>"Cost efficiencies: e = "&amp;$B$16&amp;" (post-merger: c1*e)"</f>
        <v>Cost efficiencies: e = 1 (post-merger: c1*e)</v>
      </c>
      <c r="D6" s="59"/>
      <c r="E6" s="59"/>
      <c r="F6" s="59"/>
      <c r="G6" s="59"/>
      <c r="H6" s="59"/>
      <c r="I6" s="59"/>
      <c r="J6" s="15"/>
    </row>
    <row r="7" spans="1:11" x14ac:dyDescent="0.2">
      <c r="A7" s="47" t="s">
        <v>12</v>
      </c>
      <c r="B7" s="17">
        <v>100</v>
      </c>
      <c r="C7" s="53" t="s">
        <v>18</v>
      </c>
      <c r="D7" s="54"/>
      <c r="E7" s="54"/>
      <c r="F7" s="54"/>
      <c r="G7" s="54"/>
      <c r="H7" s="54"/>
      <c r="I7" s="55"/>
      <c r="J7" s="18"/>
    </row>
    <row r="8" spans="1:11" x14ac:dyDescent="0.2">
      <c r="A8" s="47" t="s">
        <v>2</v>
      </c>
      <c r="B8" s="19">
        <v>1</v>
      </c>
      <c r="C8" s="20" t="s">
        <v>15</v>
      </c>
      <c r="D8" s="21" t="s">
        <v>0</v>
      </c>
      <c r="E8" s="21" t="s">
        <v>23</v>
      </c>
      <c r="F8" s="45" t="s">
        <v>20</v>
      </c>
      <c r="G8" s="21" t="s">
        <v>38</v>
      </c>
      <c r="H8" s="48" t="s">
        <v>16</v>
      </c>
      <c r="I8" s="23">
        <f>SUM(D9:D15)</f>
        <v>77</v>
      </c>
      <c r="J8" s="18"/>
      <c r="K8" s="18"/>
    </row>
    <row r="9" spans="1:11" x14ac:dyDescent="0.2">
      <c r="A9" s="47" t="s">
        <v>24</v>
      </c>
      <c r="B9" s="24">
        <v>11</v>
      </c>
      <c r="C9" s="25">
        <v>1</v>
      </c>
      <c r="D9" s="26">
        <f>$B$9</f>
        <v>11</v>
      </c>
      <c r="E9" s="26">
        <f t="shared" ref="E9:E14" si="0">B27</f>
        <v>12</v>
      </c>
      <c r="F9" s="27">
        <f>$B$9/($B$9+$B$10+$B$11+$B$12+$B$13+$B$14+$B$15)</f>
        <v>0.14285714285714285</v>
      </c>
      <c r="G9" s="26">
        <f t="shared" ref="G9:G14" si="1">($I$9-E9)*D9</f>
        <v>121</v>
      </c>
      <c r="H9" s="48" t="s">
        <v>17</v>
      </c>
      <c r="I9" s="28">
        <f>$B$7-$B$8*I8</f>
        <v>23</v>
      </c>
      <c r="J9" s="18"/>
      <c r="K9" s="18"/>
    </row>
    <row r="10" spans="1:11" x14ac:dyDescent="0.2">
      <c r="A10" s="47" t="s">
        <v>25</v>
      </c>
      <c r="B10" s="24">
        <v>11</v>
      </c>
      <c r="C10" s="25">
        <v>2</v>
      </c>
      <c r="D10" s="26">
        <f>$B$10</f>
        <v>11</v>
      </c>
      <c r="E10" s="26">
        <f t="shared" si="0"/>
        <v>12</v>
      </c>
      <c r="F10" s="27">
        <f>$B$10/($B$9+$B$10+$B$11+$B$12+$B$13+$B$14+$B$15)</f>
        <v>0.14285714285714285</v>
      </c>
      <c r="G10" s="26">
        <f t="shared" si="1"/>
        <v>121</v>
      </c>
      <c r="H10" s="48" t="s">
        <v>7</v>
      </c>
      <c r="I10" s="23">
        <f>SUM(G9:G15)</f>
        <v>847</v>
      </c>
      <c r="J10" s="18"/>
      <c r="K10" s="18"/>
    </row>
    <row r="11" spans="1:11" x14ac:dyDescent="0.2">
      <c r="A11" s="47" t="s">
        <v>26</v>
      </c>
      <c r="B11" s="24">
        <v>11</v>
      </c>
      <c r="C11" s="25">
        <v>3</v>
      </c>
      <c r="D11" s="26">
        <f>$B$11</f>
        <v>11</v>
      </c>
      <c r="E11" s="26">
        <f t="shared" si="0"/>
        <v>12</v>
      </c>
      <c r="F11" s="27">
        <f>$B$11/($B$9+$B$10+$B$11+$B$12+$B$13+$B$14+$B$15)</f>
        <v>0.14285714285714285</v>
      </c>
      <c r="G11" s="26">
        <f t="shared" si="1"/>
        <v>121</v>
      </c>
      <c r="H11" s="49" t="s">
        <v>8</v>
      </c>
      <c r="I11" s="30">
        <f>0.5*($B$7 - I9)*I8</f>
        <v>2964.5</v>
      </c>
      <c r="J11" s="18"/>
      <c r="K11" s="18"/>
    </row>
    <row r="12" spans="1:11" x14ac:dyDescent="0.2">
      <c r="A12" s="47" t="s">
        <v>27</v>
      </c>
      <c r="B12" s="24">
        <v>11</v>
      </c>
      <c r="C12" s="25">
        <v>4</v>
      </c>
      <c r="D12" s="26">
        <f>$B$12</f>
        <v>11</v>
      </c>
      <c r="E12" s="26">
        <f t="shared" si="0"/>
        <v>12</v>
      </c>
      <c r="F12" s="27">
        <f>$B$12/($B$9+$B$10+$B$11+$B$12+$B$13+$B$14+$B$15)</f>
        <v>0.14285714285714285</v>
      </c>
      <c r="G12" s="26">
        <f t="shared" si="1"/>
        <v>121</v>
      </c>
      <c r="H12" s="49" t="s">
        <v>9</v>
      </c>
      <c r="I12" s="30">
        <f>SUM(I10:I11)</f>
        <v>3811.5</v>
      </c>
      <c r="J12" s="18"/>
      <c r="K12" s="18"/>
    </row>
    <row r="13" spans="1:11" x14ac:dyDescent="0.2">
      <c r="A13" s="47" t="s">
        <v>28</v>
      </c>
      <c r="B13" s="24">
        <v>11</v>
      </c>
      <c r="C13" s="25">
        <v>5</v>
      </c>
      <c r="D13" s="26">
        <f>$B$13</f>
        <v>11</v>
      </c>
      <c r="E13" s="26">
        <f t="shared" si="0"/>
        <v>12</v>
      </c>
      <c r="F13" s="27">
        <f>$B$13/($B$9+$B$10+$B$11+$B$12+$B$13+$B$14+$B$15)</f>
        <v>0.14285714285714285</v>
      </c>
      <c r="G13" s="26">
        <f t="shared" si="1"/>
        <v>121</v>
      </c>
      <c r="H13" s="49" t="s">
        <v>10</v>
      </c>
      <c r="I13" s="31">
        <f>10000*(F9^2+F10^2+F11^2+F12^2+F13^2+F14^2+F15^2)</f>
        <v>1428.5714285714284</v>
      </c>
      <c r="J13" s="18"/>
      <c r="K13" s="18"/>
    </row>
    <row r="14" spans="1:11" x14ac:dyDescent="0.2">
      <c r="A14" s="47" t="s">
        <v>31</v>
      </c>
      <c r="B14" s="24">
        <v>11</v>
      </c>
      <c r="C14" s="25">
        <v>6</v>
      </c>
      <c r="D14" s="26">
        <f>$B$14</f>
        <v>11</v>
      </c>
      <c r="E14" s="26">
        <f t="shared" si="0"/>
        <v>12</v>
      </c>
      <c r="F14" s="27">
        <f>$B$14/($B$9+$B$10+$B$11+$B$12+$B$13+$B$14+$B$15)</f>
        <v>0.14285714285714285</v>
      </c>
      <c r="G14" s="26">
        <f t="shared" si="1"/>
        <v>121</v>
      </c>
      <c r="H14" s="43"/>
      <c r="I14" s="44"/>
      <c r="J14" s="18"/>
      <c r="K14" s="18"/>
    </row>
    <row r="15" spans="1:11" x14ac:dyDescent="0.2">
      <c r="A15" s="47" t="s">
        <v>32</v>
      </c>
      <c r="B15" s="24">
        <v>11</v>
      </c>
      <c r="C15" s="25">
        <v>7</v>
      </c>
      <c r="D15" s="26">
        <f>$B$15</f>
        <v>11</v>
      </c>
      <c r="E15" s="26">
        <f>B33</f>
        <v>12</v>
      </c>
      <c r="F15" s="27">
        <f>$B$15/($B$9+$B$10+$B$11+$B$12+$B$13+$B$14+$B$15)</f>
        <v>0.14285714285714285</v>
      </c>
      <c r="G15" s="26">
        <f>($I$9-E15)*D15</f>
        <v>121</v>
      </c>
      <c r="H15" s="50"/>
      <c r="I15" s="44"/>
      <c r="J15" s="52"/>
    </row>
    <row r="16" spans="1:11" x14ac:dyDescent="0.2">
      <c r="A16" s="47" t="s">
        <v>3</v>
      </c>
      <c r="B16" s="19">
        <v>1</v>
      </c>
      <c r="C16" s="53" t="s">
        <v>19</v>
      </c>
      <c r="D16" s="54"/>
      <c r="E16" s="54"/>
      <c r="F16" s="54"/>
      <c r="G16" s="54"/>
      <c r="H16" s="60"/>
      <c r="I16" s="55"/>
      <c r="J16" s="52"/>
    </row>
    <row r="17" spans="1:11" x14ac:dyDescent="0.2">
      <c r="A17" s="47"/>
      <c r="B17" s="19"/>
      <c r="C17" s="20" t="s">
        <v>15</v>
      </c>
      <c r="D17" s="21" t="s">
        <v>0</v>
      </c>
      <c r="E17" s="21" t="s">
        <v>23</v>
      </c>
      <c r="F17" s="45" t="s">
        <v>20</v>
      </c>
      <c r="G17" s="21" t="s">
        <v>38</v>
      </c>
      <c r="H17" s="48" t="s">
        <v>16</v>
      </c>
      <c r="I17" s="23">
        <f>SUM(D18:D23)</f>
        <v>75.428571428571445</v>
      </c>
      <c r="J17" s="51" t="s">
        <v>39</v>
      </c>
      <c r="K17" s="30">
        <f>I17-I8</f>
        <v>-1.5714285714285552</v>
      </c>
    </row>
    <row r="18" spans="1:11" x14ac:dyDescent="0.2">
      <c r="A18" s="47"/>
      <c r="B18" s="19"/>
      <c r="C18" s="25" t="s">
        <v>22</v>
      </c>
      <c r="D18" s="26">
        <f t="shared" ref="D18:D23" si="2">I36</f>
        <v>12.571428571428568</v>
      </c>
      <c r="E18" s="26">
        <f>E9*$B$16</f>
        <v>12</v>
      </c>
      <c r="F18" s="27">
        <f t="shared" ref="F18:F23" si="3">D18/($D$18+$D$19+$D$20+$D$21+$D$22+$D$23)</f>
        <v>0.16666666666666657</v>
      </c>
      <c r="G18" s="26">
        <f>($I$18-$B$16*E9)*D18</f>
        <v>158.04081632653035</v>
      </c>
      <c r="H18" s="48" t="s">
        <v>17</v>
      </c>
      <c r="I18" s="28">
        <f>$B$7-$B$8*I17</f>
        <v>24.571428571428555</v>
      </c>
      <c r="J18" s="51" t="s">
        <v>40</v>
      </c>
      <c r="K18" s="30">
        <f t="shared" ref="K18:K21" si="4">I18-I9</f>
        <v>1.5714285714285552</v>
      </c>
    </row>
    <row r="19" spans="1:11" x14ac:dyDescent="0.2">
      <c r="A19" s="47"/>
      <c r="B19" s="19"/>
      <c r="C19" s="25">
        <v>3</v>
      </c>
      <c r="D19" s="26">
        <f t="shared" si="2"/>
        <v>12.57142857142858</v>
      </c>
      <c r="E19" s="26">
        <f>E11</f>
        <v>12</v>
      </c>
      <c r="F19" s="27">
        <f t="shared" si="3"/>
        <v>0.16666666666666674</v>
      </c>
      <c r="G19" s="26">
        <f>($I$18-E11)*D19</f>
        <v>158.04081632653052</v>
      </c>
      <c r="H19" s="48" t="s">
        <v>7</v>
      </c>
      <c r="I19" s="23">
        <f>SUM(G18:G23)</f>
        <v>948.24489795918271</v>
      </c>
      <c r="J19" s="51" t="s">
        <v>41</v>
      </c>
      <c r="K19" s="30">
        <f t="shared" si="4"/>
        <v>101.24489795918271</v>
      </c>
    </row>
    <row r="20" spans="1:11" x14ac:dyDescent="0.2">
      <c r="A20" s="47"/>
      <c r="B20" s="19"/>
      <c r="C20" s="25">
        <v>4</v>
      </c>
      <c r="D20" s="26">
        <f t="shared" si="2"/>
        <v>12.571428571428577</v>
      </c>
      <c r="E20" s="26">
        <f>E12</f>
        <v>12</v>
      </c>
      <c r="F20" s="27">
        <f t="shared" si="3"/>
        <v>0.16666666666666669</v>
      </c>
      <c r="G20" s="26">
        <f>($I$18-E12)*D20</f>
        <v>158.04081632653046</v>
      </c>
      <c r="H20" s="49" t="s">
        <v>8</v>
      </c>
      <c r="I20" s="30">
        <f>0.5*($B$7 - I18)*I17</f>
        <v>2844.7346938775522</v>
      </c>
      <c r="J20" s="51" t="s">
        <v>42</v>
      </c>
      <c r="K20" s="30">
        <f t="shared" si="4"/>
        <v>-119.76530612244778</v>
      </c>
    </row>
    <row r="21" spans="1:11" x14ac:dyDescent="0.2">
      <c r="A21" s="16"/>
      <c r="B21" s="19"/>
      <c r="C21" s="25">
        <v>5</v>
      </c>
      <c r="D21" s="26">
        <f t="shared" si="2"/>
        <v>12.571428571428596</v>
      </c>
      <c r="E21" s="26">
        <f>E13</f>
        <v>12</v>
      </c>
      <c r="F21" s="27">
        <f t="shared" si="3"/>
        <v>0.16666666666666696</v>
      </c>
      <c r="G21" s="26">
        <f>($I$18-E13)*D21</f>
        <v>158.04081632653072</v>
      </c>
      <c r="H21" s="49" t="s">
        <v>9</v>
      </c>
      <c r="I21" s="30">
        <f>SUM(I19:I20)</f>
        <v>3792.9795918367349</v>
      </c>
      <c r="J21" s="51" t="s">
        <v>43</v>
      </c>
      <c r="K21" s="30">
        <f t="shared" si="4"/>
        <v>-18.520408163265074</v>
      </c>
    </row>
    <row r="22" spans="1:11" x14ac:dyDescent="0.2">
      <c r="A22" s="16"/>
      <c r="B22" s="19"/>
      <c r="C22" s="25">
        <v>6</v>
      </c>
      <c r="D22" s="26">
        <f t="shared" si="2"/>
        <v>12.571428571428566</v>
      </c>
      <c r="E22" s="26">
        <f>E14</f>
        <v>12</v>
      </c>
      <c r="F22" s="27">
        <f t="shared" si="3"/>
        <v>0.16666666666666655</v>
      </c>
      <c r="G22" s="26">
        <f>($I$18-E14)*D22</f>
        <v>158.04081632653035</v>
      </c>
      <c r="H22" s="49"/>
      <c r="I22" s="30"/>
      <c r="J22" s="48"/>
      <c r="K22" s="22"/>
    </row>
    <row r="23" spans="1:11" x14ac:dyDescent="0.2">
      <c r="A23" s="16"/>
      <c r="B23" s="19"/>
      <c r="C23" s="25">
        <v>7</v>
      </c>
      <c r="D23" s="26">
        <f t="shared" si="2"/>
        <v>12.571428571428555</v>
      </c>
      <c r="E23" s="26">
        <f>E15</f>
        <v>12</v>
      </c>
      <c r="F23" s="27">
        <f t="shared" si="3"/>
        <v>0.16666666666666641</v>
      </c>
      <c r="G23" s="26">
        <f>($I$18-E15)*D23</f>
        <v>158.04081632653021</v>
      </c>
      <c r="H23" s="49"/>
      <c r="I23" s="30"/>
      <c r="J23" s="49"/>
      <c r="K23" s="29"/>
    </row>
    <row r="24" spans="1:11" x14ac:dyDescent="0.2">
      <c r="A24" s="16"/>
      <c r="B24" s="19"/>
      <c r="C24" s="25"/>
      <c r="D24" s="26"/>
      <c r="E24" s="26"/>
      <c r="F24" s="27"/>
      <c r="G24" s="26"/>
      <c r="H24" s="49" t="s">
        <v>10</v>
      </c>
      <c r="I24" s="31">
        <f>10000*(F18^2+F19^2+F20^2+F21^2+F22^2+F23^2)</f>
        <v>1666.6666666666663</v>
      </c>
      <c r="J24" s="51" t="s">
        <v>44</v>
      </c>
      <c r="K24" s="31">
        <f>I24-I13</f>
        <v>238.09523809523785</v>
      </c>
    </row>
    <row r="25" spans="1:11" x14ac:dyDescent="0.2">
      <c r="A25" s="16"/>
      <c r="B25" s="19"/>
      <c r="C25" s="33"/>
      <c r="D25" s="33"/>
      <c r="E25" s="34"/>
      <c r="F25" s="35"/>
      <c r="G25" s="34"/>
      <c r="H25" s="32"/>
      <c r="I25" s="32"/>
      <c r="J25" s="32"/>
    </row>
    <row r="26" spans="1:11" x14ac:dyDescent="0.2">
      <c r="A26" s="36" t="s">
        <v>29</v>
      </c>
      <c r="B26" s="37"/>
      <c r="C26" s="38"/>
      <c r="D26" s="37"/>
      <c r="E26" s="38"/>
      <c r="F26" s="18"/>
      <c r="G26" s="18"/>
      <c r="J26" s="39"/>
    </row>
    <row r="27" spans="1:11" x14ac:dyDescent="0.2">
      <c r="A27" s="37" t="s">
        <v>4</v>
      </c>
      <c r="B27" s="37">
        <f>$B$7-$B$8*(2*$B$9+$B$10+$B$11+$B$12+$B$13+$B$14+$B$15)</f>
        <v>12</v>
      </c>
      <c r="C27" s="37"/>
      <c r="D27" s="37"/>
      <c r="E27" s="37"/>
      <c r="F27" s="40"/>
      <c r="G27" s="40"/>
      <c r="H27" s="10"/>
      <c r="I27" s="10"/>
      <c r="J27" s="39"/>
    </row>
    <row r="28" spans="1:11" x14ac:dyDescent="0.2">
      <c r="A28" s="37" t="s">
        <v>5</v>
      </c>
      <c r="B28" s="37">
        <f>$B$7-$B$8*($B$9+2*$B$10+$B$11+$B$12+$B$13+$B$14+$B$15)</f>
        <v>12</v>
      </c>
      <c r="C28" s="37"/>
      <c r="D28" s="37"/>
      <c r="E28" s="37"/>
      <c r="F28" s="40"/>
      <c r="G28" s="40"/>
      <c r="H28" s="10"/>
      <c r="I28" s="10"/>
      <c r="J28" s="39"/>
    </row>
    <row r="29" spans="1:11" x14ac:dyDescent="0.2">
      <c r="A29" s="37" t="s">
        <v>6</v>
      </c>
      <c r="B29" s="37">
        <f>$B$7-$B$8*($B$9+$B$10+2*$B$11+$B$12+$B$13+$B$14+$B$15)</f>
        <v>12</v>
      </c>
      <c r="C29" s="37"/>
      <c r="D29" s="37"/>
      <c r="E29" s="37"/>
      <c r="F29" s="40"/>
      <c r="G29" s="40"/>
      <c r="H29" s="10"/>
      <c r="I29" s="10"/>
      <c r="J29" s="39"/>
    </row>
    <row r="30" spans="1:11" x14ac:dyDescent="0.2">
      <c r="A30" s="37" t="s">
        <v>13</v>
      </c>
      <c r="B30" s="37">
        <f>$B$7-$B$8*($B$9+$B$10+$B$11+2*$B$12+$B$13+$B$14+$B$15)</f>
        <v>12</v>
      </c>
      <c r="C30" s="14"/>
      <c r="D30" s="14"/>
      <c r="E30" s="14"/>
      <c r="G30" s="40"/>
      <c r="H30" s="10"/>
      <c r="I30" s="10"/>
      <c r="J30" s="18"/>
    </row>
    <row r="31" spans="1:11" x14ac:dyDescent="0.2">
      <c r="A31" s="37" t="s">
        <v>14</v>
      </c>
      <c r="B31" s="37">
        <f>$B$7-$B$8*($B$9+$B$10+$B$11+$B$12+2*$B$13+$B$14+$B$15)</f>
        <v>12</v>
      </c>
      <c r="C31" s="14"/>
      <c r="D31" s="14"/>
      <c r="E31" s="14"/>
      <c r="G31" s="40"/>
      <c r="H31" s="10"/>
      <c r="I31" s="10"/>
      <c r="J31" s="18"/>
    </row>
    <row r="32" spans="1:11" x14ac:dyDescent="0.2">
      <c r="A32" s="37" t="s">
        <v>30</v>
      </c>
      <c r="B32" s="37">
        <f>$B$7-$B$8*($B$9+$B$10+$B$11+$B$12+$B$13+2*$B$14+$B$15)</f>
        <v>12</v>
      </c>
      <c r="C32" s="14"/>
      <c r="D32" s="14"/>
      <c r="E32" s="14"/>
      <c r="G32" s="40"/>
      <c r="H32" s="10"/>
      <c r="I32" s="10"/>
      <c r="J32" s="18"/>
    </row>
    <row r="33" spans="1:10" x14ac:dyDescent="0.2">
      <c r="A33" s="37" t="s">
        <v>33</v>
      </c>
      <c r="B33" s="37">
        <f>$B$7-$B$8*($B$9+$B$10+$B$11+$B$12+$B$13+$B$14+2*$B$15)</f>
        <v>12</v>
      </c>
      <c r="C33" s="14"/>
      <c r="D33" s="14"/>
      <c r="E33" s="14"/>
      <c r="G33" s="40"/>
      <c r="H33" s="10"/>
      <c r="I33" s="10"/>
      <c r="J33" s="18"/>
    </row>
    <row r="34" spans="1:10" x14ac:dyDescent="0.2">
      <c r="A34" s="14"/>
      <c r="B34" s="14"/>
      <c r="C34" s="14"/>
      <c r="D34" s="14"/>
      <c r="E34" s="14"/>
      <c r="G34" s="14"/>
      <c r="H34" s="10"/>
      <c r="I34" s="10"/>
      <c r="J34" s="18"/>
    </row>
    <row r="35" spans="1:10" x14ac:dyDescent="0.2">
      <c r="A35" s="41" t="s">
        <v>11</v>
      </c>
      <c r="B35" s="14"/>
      <c r="C35" s="14"/>
      <c r="D35" s="14"/>
      <c r="E35" s="14"/>
      <c r="G35" s="14"/>
      <c r="H35" s="10"/>
      <c r="I35" s="10"/>
      <c r="J35" s="18"/>
    </row>
    <row r="36" spans="1:10" x14ac:dyDescent="0.2">
      <c r="A36" s="37">
        <f>2*$B$8</f>
        <v>2</v>
      </c>
      <c r="B36" s="37">
        <f>$B$8</f>
        <v>1</v>
      </c>
      <c r="C36" s="37">
        <f>$B$8</f>
        <v>1</v>
      </c>
      <c r="D36" s="37">
        <f>$B$8</f>
        <v>1</v>
      </c>
      <c r="E36" s="14">
        <f>$B$8</f>
        <v>1</v>
      </c>
      <c r="F36" s="14">
        <f>$B$8</f>
        <v>1</v>
      </c>
      <c r="G36" s="40">
        <f>$B$7-(E9*$B$16)</f>
        <v>88</v>
      </c>
      <c r="H36" s="14"/>
      <c r="I36" s="10">
        <f t="array" ref="I36:I41">MMULT(MINVERSE(A36:F41),G36:G41)</f>
        <v>12.571428571428568</v>
      </c>
      <c r="J36" s="14"/>
    </row>
    <row r="37" spans="1:10" x14ac:dyDescent="0.2">
      <c r="A37" s="37">
        <f>$B$8</f>
        <v>1</v>
      </c>
      <c r="B37" s="37">
        <f>2*$B$8</f>
        <v>2</v>
      </c>
      <c r="C37" s="37">
        <f>$B$8</f>
        <v>1</v>
      </c>
      <c r="D37" s="37">
        <f>$B$8</f>
        <v>1</v>
      </c>
      <c r="E37" s="14">
        <f>$B$8</f>
        <v>1</v>
      </c>
      <c r="F37" s="14">
        <f>$B$8</f>
        <v>1</v>
      </c>
      <c r="G37" s="40">
        <f>$B$7-E11</f>
        <v>88</v>
      </c>
      <c r="H37" s="14"/>
      <c r="I37" s="10">
        <v>12.57142857142858</v>
      </c>
      <c r="J37" s="14"/>
    </row>
    <row r="38" spans="1:10" x14ac:dyDescent="0.2">
      <c r="A38" s="37">
        <f>$B$8</f>
        <v>1</v>
      </c>
      <c r="B38" s="37">
        <f>$B$8</f>
        <v>1</v>
      </c>
      <c r="C38" s="37">
        <f>2*$B$8</f>
        <v>2</v>
      </c>
      <c r="D38" s="37">
        <f>$B$8</f>
        <v>1</v>
      </c>
      <c r="E38" s="14">
        <f>$B$8</f>
        <v>1</v>
      </c>
      <c r="F38" s="14">
        <f>$B$8</f>
        <v>1</v>
      </c>
      <c r="G38" s="40">
        <f>$B$7-E12</f>
        <v>88</v>
      </c>
      <c r="H38" s="14"/>
      <c r="I38" s="10">
        <v>12.571428571428577</v>
      </c>
      <c r="J38" s="14"/>
    </row>
    <row r="39" spans="1:10" x14ac:dyDescent="0.2">
      <c r="A39" s="14">
        <f>$B$8</f>
        <v>1</v>
      </c>
      <c r="B39" s="14">
        <f>$B$8</f>
        <v>1</v>
      </c>
      <c r="C39" s="14">
        <f>$B$8</f>
        <v>1</v>
      </c>
      <c r="D39" s="14">
        <f>2*$B$8</f>
        <v>2</v>
      </c>
      <c r="E39" s="14">
        <f>$B$8</f>
        <v>1</v>
      </c>
      <c r="F39" s="14">
        <f>$B$8</f>
        <v>1</v>
      </c>
      <c r="G39" s="40">
        <f>$B$7-E13</f>
        <v>88</v>
      </c>
      <c r="H39" s="14"/>
      <c r="I39" s="10">
        <v>12.571428571428596</v>
      </c>
      <c r="J39" s="14"/>
    </row>
    <row r="40" spans="1:10" x14ac:dyDescent="0.2">
      <c r="A40" s="14">
        <f>$B$8</f>
        <v>1</v>
      </c>
      <c r="B40" s="14">
        <f>$B$8</f>
        <v>1</v>
      </c>
      <c r="C40" s="14">
        <f>$B$8</f>
        <v>1</v>
      </c>
      <c r="D40" s="14">
        <f>$B$8</f>
        <v>1</v>
      </c>
      <c r="E40" s="14">
        <f>2*$B$8</f>
        <v>2</v>
      </c>
      <c r="F40" s="14">
        <f>$B$8</f>
        <v>1</v>
      </c>
      <c r="G40" s="40">
        <f>$B$7-E14</f>
        <v>88</v>
      </c>
      <c r="H40" s="13"/>
      <c r="I40" s="10">
        <v>12.571428571428566</v>
      </c>
    </row>
    <row r="41" spans="1:10" x14ac:dyDescent="0.2">
      <c r="A41" s="14">
        <f>$B$8</f>
        <v>1</v>
      </c>
      <c r="B41" s="14">
        <f>$B$8</f>
        <v>1</v>
      </c>
      <c r="C41" s="14">
        <f>$B$8</f>
        <v>1</v>
      </c>
      <c r="D41" s="14">
        <f>$B$8</f>
        <v>1</v>
      </c>
      <c r="E41" s="14">
        <f>$B$8</f>
        <v>1</v>
      </c>
      <c r="F41" s="14">
        <f>2*$B$8</f>
        <v>2</v>
      </c>
      <c r="G41" s="40">
        <f>$B$7-E15</f>
        <v>88</v>
      </c>
      <c r="H41" s="13"/>
      <c r="I41" s="10">
        <v>12.571428571428555</v>
      </c>
    </row>
    <row r="42" spans="1:10" x14ac:dyDescent="0.2">
      <c r="E42" s="12"/>
      <c r="F42" s="13"/>
      <c r="G42" s="14"/>
      <c r="H42" s="13"/>
    </row>
  </sheetData>
  <mergeCells count="6">
    <mergeCell ref="C7:I7"/>
    <mergeCell ref="C16:I16"/>
    <mergeCell ref="A2:I2"/>
    <mergeCell ref="A3:I3"/>
    <mergeCell ref="C5:I5"/>
    <mergeCell ref="C6:I6"/>
  </mergeCells>
  <phoneticPr fontId="1" type="noConversion"/>
  <pageMargins left="0.25" right="0.25" top="0.75" bottom="0.75" header="0.3" footer="0.3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2_to_1_merger</vt:lpstr>
      <vt:lpstr>3_to_2_merger</vt:lpstr>
      <vt:lpstr>4_to_3_merger</vt:lpstr>
      <vt:lpstr>5_to_4_merger</vt:lpstr>
      <vt:lpstr>6_to_5_merger</vt:lpstr>
      <vt:lpstr>7_to_6_merger</vt:lpstr>
      <vt:lpstr>'2_to_1_merger'!Print_Area</vt:lpstr>
      <vt:lpstr>'3_to_2_merger'!Print_Area</vt:lpstr>
      <vt:lpstr>'4_to_3_merger'!Print_Area</vt:lpstr>
      <vt:lpstr>'5_to_4_merger'!Print_Area</vt:lpstr>
      <vt:lpstr>'6_to_5_merger'!Print_Area</vt:lpstr>
      <vt:lpstr>'7_to_6_merger'!Print_Area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Murdock</dc:creator>
  <cp:lastModifiedBy>Jennifer Murdock</cp:lastModifiedBy>
  <cp:lastPrinted>2014-09-13T12:10:17Z</cp:lastPrinted>
  <dcterms:created xsi:type="dcterms:W3CDTF">1996-10-14T23:33:28Z</dcterms:created>
  <dcterms:modified xsi:type="dcterms:W3CDTF">2014-09-22T12:11:05Z</dcterms:modified>
</cp:coreProperties>
</file>