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4490" activeTab="0"/>
  </bookViews>
  <sheets>
    <sheet name="1439" sheetId="1" r:id="rId1"/>
    <sheet name="1439B" sheetId="2" r:id="rId2"/>
    <sheet name="1439C" sheetId="3" r:id="rId3"/>
    <sheet name="2005Dec" sheetId="4" r:id="rId4"/>
    <sheet name="Nov2008" sheetId="5" r:id="rId5"/>
    <sheet name="Nov2011" sheetId="6" r:id="rId6"/>
  </sheets>
  <definedNames>
    <definedName name="_xlnm.Print_Titles" localSheetId="0">'1439'!$A:$A,'1439'!$1:$6</definedName>
    <definedName name="_xlnm.Print_Titles" localSheetId="1">'1439B'!$A:$A,'1439B'!$1:$6</definedName>
    <definedName name="_xlnm.Print_Titles" localSheetId="2">'1439C'!$A:$A,'1439C'!$1:$6</definedName>
    <definedName name="_xlnm.Print_Titles" localSheetId="3">'2005Dec'!$A:$A,'2005Dec'!$1:$6</definedName>
    <definedName name="_xlnm.Print_Titles" localSheetId="4">'Nov2008'!$A:$A,'Nov2008'!$1:$6</definedName>
    <definedName name="_xlnm.Print_Titles" localSheetId="5">'Nov2011'!$A:$A,'Nov2011'!$1:$6</definedName>
  </definedNames>
  <calcPr fullCalcOnLoad="1"/>
</workbook>
</file>

<file path=xl/sharedStrings.xml><?xml version="1.0" encoding="utf-8"?>
<sst xmlns="http://schemas.openxmlformats.org/spreadsheetml/2006/main" count="628" uniqueCount="150">
  <si>
    <t>$ CAD</t>
  </si>
  <si>
    <t>$30.31</t>
  </si>
  <si>
    <t>$30.31/hour</t>
  </si>
  <si>
    <t>$33.07</t>
  </si>
  <si>
    <t>$33.07/hour</t>
  </si>
  <si>
    <t>$35.39</t>
  </si>
  <si>
    <t>$35.39 per hr</t>
  </si>
  <si>
    <t>$CAD</t>
  </si>
  <si>
    <t>$CAD per lb</t>
  </si>
  <si>
    <t>1 lb. = 470.156 grams</t>
  </si>
  <si>
    <t>1 lb. avoirdupois = 453.59237 grams</t>
  </si>
  <si>
    <t>100 g</t>
  </si>
  <si>
    <t>100 grams</t>
  </si>
  <si>
    <t>1438-39</t>
  </si>
  <si>
    <t>Allspice</t>
  </si>
  <si>
    <t>amounts purchased</t>
  </si>
  <si>
    <t>and the quantities that could be purchased by a master carpenter's daily wage</t>
  </si>
  <si>
    <t>and the quantities that could be purchased with a master carpenter's daily wage</t>
  </si>
  <si>
    <t>Anise</t>
  </si>
  <si>
    <t>Antwerp</t>
  </si>
  <si>
    <t>Antwerp d. groot</t>
  </si>
  <si>
    <t>at $30.31 per hr</t>
  </si>
  <si>
    <t>at $33.07 per hr</t>
  </si>
  <si>
    <t>at $33.07 pr hour</t>
  </si>
  <si>
    <t>at $35.39 per hr</t>
  </si>
  <si>
    <t>at $35.39 pr hour</t>
  </si>
  <si>
    <t>Bay leaves</t>
  </si>
  <si>
    <t>bought with</t>
  </si>
  <si>
    <t>Brown Sugar</t>
  </si>
  <si>
    <t>Buy 1 lb.</t>
  </si>
  <si>
    <t>Buy 100 g.</t>
  </si>
  <si>
    <t>Cardamom</t>
  </si>
  <si>
    <t>Carpenter</t>
  </si>
  <si>
    <t>Cassia Buds</t>
  </si>
  <si>
    <t>Cayenne pepper</t>
  </si>
  <si>
    <t>Chili</t>
  </si>
  <si>
    <t>Cinammon</t>
  </si>
  <si>
    <t>Cinnamon</t>
  </si>
  <si>
    <t>Cloves</t>
  </si>
  <si>
    <t>Cloves Ground</t>
  </si>
  <si>
    <t>Cloves Whole</t>
  </si>
  <si>
    <t>Coriander</t>
  </si>
  <si>
    <t>Coriander grains</t>
  </si>
  <si>
    <t>Coriander ground</t>
  </si>
  <si>
    <t>Costs and Values of Spices in Toronto in December 2005</t>
  </si>
  <si>
    <t>Costs and Values of Spices in Toronto in November 2008</t>
  </si>
  <si>
    <t>Costs and Values of Spices in Toronto in November 2011</t>
  </si>
  <si>
    <t>Cumin</t>
  </si>
  <si>
    <t>Cumin ground</t>
  </si>
  <si>
    <t>Cumin seeds</t>
  </si>
  <si>
    <t>d. gr.  Brab.</t>
  </si>
  <si>
    <t>d. gr. per lb.</t>
  </si>
  <si>
    <t>d. ster.</t>
  </si>
  <si>
    <t>d. sterling per lb</t>
  </si>
  <si>
    <t>daily wage</t>
  </si>
  <si>
    <t>Daily Wage</t>
  </si>
  <si>
    <t>Daily Wage 2005</t>
  </si>
  <si>
    <t>Daily Wage 2008</t>
  </si>
  <si>
    <t>Date</t>
  </si>
  <si>
    <t>December 2005</t>
  </si>
  <si>
    <t>Fennel</t>
  </si>
  <si>
    <t>Fenugreek</t>
  </si>
  <si>
    <t>Garlic</t>
  </si>
  <si>
    <t>Ginger</t>
  </si>
  <si>
    <t>grams</t>
  </si>
  <si>
    <t>grams per hr</t>
  </si>
  <si>
    <t>grams purchased</t>
  </si>
  <si>
    <t>Hourly Wage</t>
  </si>
  <si>
    <t>in $CAD</t>
  </si>
  <si>
    <t>in $CAD*</t>
  </si>
  <si>
    <t>in 2001, 2003, 2005, 2008  (in Canadian dollars) per lb. avoirdupois and kilogram</t>
  </si>
  <si>
    <t>in d groot</t>
  </si>
  <si>
    <t>in d groot Brabant</t>
  </si>
  <si>
    <t>in d ster.</t>
  </si>
  <si>
    <t>in d sterling</t>
  </si>
  <si>
    <t>in Nov. 2008 (in Canadian dollars) per lb. avoirdupois and kilogram</t>
  </si>
  <si>
    <t>in Nov. 2011 (in Canadian dollars) per lb. avoirdupois and kilograms</t>
  </si>
  <si>
    <t>in pence groot and sterling, compared to prices in Toronto</t>
  </si>
  <si>
    <t>in pence groot Brabant and English pence sterling, compared to prices in Toronto</t>
  </si>
  <si>
    <t>kg per hour</t>
  </si>
  <si>
    <t>kg. purchased</t>
  </si>
  <si>
    <t>kilogram</t>
  </si>
  <si>
    <t>kilograms</t>
  </si>
  <si>
    <t>l lb</t>
  </si>
  <si>
    <t>lb</t>
  </si>
  <si>
    <t>lb per hour</t>
  </si>
  <si>
    <t>lb. bought</t>
  </si>
  <si>
    <t>lb. purchased</t>
  </si>
  <si>
    <t>London</t>
  </si>
  <si>
    <t>Mace</t>
  </si>
  <si>
    <t>Mint</t>
  </si>
  <si>
    <t>Name</t>
  </si>
  <si>
    <t>Name of the</t>
  </si>
  <si>
    <t>Name of the Spice</t>
  </si>
  <si>
    <t>No. of Days'</t>
  </si>
  <si>
    <t>No. of Minutes</t>
  </si>
  <si>
    <t>Nov 2008</t>
  </si>
  <si>
    <t>Nov 2011</t>
  </si>
  <si>
    <t>Nov. 2008</t>
  </si>
  <si>
    <t>Nov. 2011</t>
  </si>
  <si>
    <t>Nutmeg</t>
  </si>
  <si>
    <t>Nutmeg Ground</t>
  </si>
  <si>
    <t>Nutmeg Whole</t>
  </si>
  <si>
    <t>Oregano</t>
  </si>
  <si>
    <t>Oxford</t>
  </si>
  <si>
    <t>Paprika</t>
  </si>
  <si>
    <t>Pepper</t>
  </si>
  <si>
    <t>Pepper white</t>
  </si>
  <si>
    <t>peppercorns</t>
  </si>
  <si>
    <t>per kg</t>
  </si>
  <si>
    <t>per kg.</t>
  </si>
  <si>
    <t>per lb</t>
  </si>
  <si>
    <t>per lb.</t>
  </si>
  <si>
    <t>pounds (453.5937 g)</t>
  </si>
  <si>
    <t xml:space="preserve">Prices </t>
  </si>
  <si>
    <t>PRICES AND RELATIVE VALUES OF SPICES IN ANTWERP AND LONDON</t>
  </si>
  <si>
    <t>Prices of Spices in Antwerp and London in 1438-39</t>
  </si>
  <si>
    <t>Prices of Spices in Antwerp, London, and Oxford in 1438-39</t>
  </si>
  <si>
    <t>Prices per</t>
  </si>
  <si>
    <t>Raw Sugar</t>
  </si>
  <si>
    <t>Saffron</t>
  </si>
  <si>
    <t>Sage</t>
  </si>
  <si>
    <t>Spice</t>
  </si>
  <si>
    <t>Store</t>
  </si>
  <si>
    <t>Sugar</t>
  </si>
  <si>
    <t>Table Sugar</t>
  </si>
  <si>
    <t>Tarragon</t>
  </si>
  <si>
    <t>to  buy 100 g</t>
  </si>
  <si>
    <t>to buy</t>
  </si>
  <si>
    <t>to buy 1 lb.</t>
  </si>
  <si>
    <t>To Buy 1 lb.</t>
  </si>
  <si>
    <t>To Buy 100 g.</t>
  </si>
  <si>
    <t>Toronto</t>
  </si>
  <si>
    <t xml:space="preserve">Toronto </t>
  </si>
  <si>
    <t>Toronto 2001</t>
  </si>
  <si>
    <t>Toronto 2003</t>
  </si>
  <si>
    <t>Toronto 2005</t>
  </si>
  <si>
    <t>Toronto 2008</t>
  </si>
  <si>
    <t>Toronto 2011</t>
  </si>
  <si>
    <t>Toronto Prices: July 2008</t>
  </si>
  <si>
    <t>Toronto: Nov 2008</t>
  </si>
  <si>
    <t>Turmeric</t>
  </si>
  <si>
    <t>wage</t>
  </si>
  <si>
    <t xml:space="preserve">Wages to </t>
  </si>
  <si>
    <t>white pepper</t>
  </si>
  <si>
    <t>white sugar</t>
  </si>
  <si>
    <t>WhiteSugar</t>
  </si>
  <si>
    <t>with daily</t>
  </si>
  <si>
    <t>with daily wage</t>
  </si>
  <si>
    <t>with daily wage (8 hr)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</si>
</sst>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00"/>
    <numFmt numFmtId="167" formatCode="0.000"/>
    <numFmt numFmtId="168" formatCode="0.000000"/>
    <numFmt numFmtId="169" formatCode="#,##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42" applyNumberFormat="1" applyFont="1">
      <alignment/>
      <protection/>
    </xf>
    <xf numFmtId="0" fontId="0" fillId="0" borderId="0" xfId="42" applyNumberFormat="1">
      <alignment/>
      <protection/>
    </xf>
    <xf numFmtId="2" fontId="0" fillId="0" borderId="0" xfId="42" applyNumberFormat="1">
      <alignment/>
      <protection/>
    </xf>
    <xf numFmtId="2" fontId="3" fillId="0" borderId="0" xfId="42" applyNumberFormat="1" applyFont="1">
      <alignment/>
      <protection/>
    </xf>
    <xf numFmtId="14" fontId="0" fillId="0" borderId="0" xfId="42" applyNumberFormat="1">
      <alignment/>
      <protection/>
    </xf>
    <xf numFmtId="166" fontId="0" fillId="0" borderId="0" xfId="42" applyNumberFormat="1">
      <alignment/>
      <protection/>
    </xf>
    <xf numFmtId="167" fontId="3" fillId="0" borderId="0" xfId="42" applyNumberFormat="1" applyFont="1">
      <alignment/>
      <protection/>
    </xf>
    <xf numFmtId="166" fontId="3" fillId="0" borderId="0" xfId="42" applyNumberFormat="1" applyFont="1">
      <alignment/>
      <protection/>
    </xf>
    <xf numFmtId="4" fontId="0" fillId="0" borderId="0" xfId="42">
      <alignment/>
      <protection/>
    </xf>
    <xf numFmtId="4" fontId="3" fillId="0" borderId="0" xfId="42" applyFont="1">
      <alignment/>
      <protection/>
    </xf>
    <xf numFmtId="167" fontId="0" fillId="0" borderId="0" xfId="42" applyNumberFormat="1">
      <alignment/>
      <protection/>
    </xf>
    <xf numFmtId="169" fontId="0" fillId="0" borderId="0" xfId="42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FF"/>
      <rgbColor rgb="0000FF00"/>
      <rgbColor rgb="00FF00FF"/>
      <rgbColor rgb="0000FFFF"/>
      <rgbColor rgb="00FF0000"/>
      <rgbColor rgb="00FFFF00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39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"/>
    </sheetView>
  </sheetViews>
  <sheetFormatPr defaultColWidth="9.140625" defaultRowHeight="12.75"/>
  <cols>
    <col min="1" max="1" width="18.28125" style="0" customWidth="1"/>
    <col min="2" max="2" width="18.28125" style="3" customWidth="1"/>
    <col min="3" max="3" width="18.00390625" style="3" customWidth="1"/>
    <col min="4" max="4" width="17.140625" style="9" customWidth="1"/>
    <col min="5" max="5" width="16.00390625" style="3" customWidth="1"/>
    <col min="6" max="6" width="16.00390625" style="9" customWidth="1"/>
    <col min="7" max="7" width="16.00390625" style="3" customWidth="1"/>
    <col min="8" max="10" width="13.140625" style="0" customWidth="1"/>
    <col min="11" max="11" width="16.00390625" style="0" customWidth="1"/>
    <col min="12" max="12" width="16.00390625" style="9" customWidth="1"/>
    <col min="13" max="14" width="16.00390625" style="2" customWidth="1"/>
    <col min="17" max="17" width="13.57421875" style="0" customWidth="1"/>
    <col min="21" max="21" width="15.8515625" style="0" customWidth="1"/>
    <col min="22" max="22" width="10.7109375" style="0" customWidth="1"/>
  </cols>
  <sheetData>
    <row r="1" ht="12.75">
      <c r="C1" s="1" t="s">
        <v>115</v>
      </c>
    </row>
    <row r="3" spans="2:11" ht="12.75">
      <c r="B3" s="4" t="s">
        <v>116</v>
      </c>
      <c r="F3" s="10"/>
      <c r="G3" s="4"/>
      <c r="H3" s="1"/>
      <c r="I3" s="1"/>
      <c r="J3" s="1"/>
      <c r="K3" s="1"/>
    </row>
    <row r="4" spans="2:11" ht="12.75">
      <c r="B4" s="4" t="s">
        <v>77</v>
      </c>
      <c r="F4" s="10"/>
      <c r="G4" s="4"/>
      <c r="H4" s="1"/>
      <c r="I4" s="1"/>
      <c r="J4" s="1"/>
      <c r="K4" s="1"/>
    </row>
    <row r="5" spans="2:23" ht="12.75">
      <c r="B5" s="4" t="s">
        <v>70</v>
      </c>
      <c r="F5" s="10"/>
      <c r="G5" s="4"/>
      <c r="H5" s="1"/>
      <c r="I5" s="1"/>
      <c r="J5" s="1"/>
      <c r="K5" s="1"/>
      <c r="Q5" s="1" t="s">
        <v>139</v>
      </c>
      <c r="U5" s="4" t="s">
        <v>140</v>
      </c>
      <c r="V5" s="4" t="s">
        <v>96</v>
      </c>
      <c r="W5" s="11"/>
    </row>
    <row r="6" spans="2:23" ht="12.75">
      <c r="B6" s="4" t="s">
        <v>16</v>
      </c>
      <c r="F6" s="10"/>
      <c r="G6" s="4"/>
      <c r="H6" s="1"/>
      <c r="I6" s="1"/>
      <c r="J6" s="1"/>
      <c r="K6" s="1"/>
      <c r="U6" s="2"/>
      <c r="V6" s="3"/>
      <c r="W6" s="11"/>
    </row>
    <row r="7" spans="21:23" ht="12.75">
      <c r="U7" s="1" t="s">
        <v>122</v>
      </c>
      <c r="V7" s="4" t="s">
        <v>118</v>
      </c>
      <c r="W7" s="7" t="s">
        <v>114</v>
      </c>
    </row>
    <row r="8" spans="1:23" ht="12.75">
      <c r="A8" s="1" t="s">
        <v>93</v>
      </c>
      <c r="B8" s="4" t="s">
        <v>19</v>
      </c>
      <c r="C8" s="4" t="s">
        <v>19</v>
      </c>
      <c r="D8" s="10" t="s">
        <v>20</v>
      </c>
      <c r="E8" s="4" t="s">
        <v>88</v>
      </c>
      <c r="F8" s="10" t="s">
        <v>88</v>
      </c>
      <c r="G8" s="4" t="s">
        <v>134</v>
      </c>
      <c r="H8" s="1" t="s">
        <v>134</v>
      </c>
      <c r="I8" s="4" t="s">
        <v>135</v>
      </c>
      <c r="J8" s="1" t="s">
        <v>135</v>
      </c>
      <c r="K8" s="4" t="s">
        <v>136</v>
      </c>
      <c r="L8" s="10" t="s">
        <v>136</v>
      </c>
      <c r="M8" s="4" t="s">
        <v>137</v>
      </c>
      <c r="N8" s="10" t="s">
        <v>137</v>
      </c>
      <c r="Q8" s="1" t="s">
        <v>122</v>
      </c>
      <c r="R8" s="1" t="s">
        <v>7</v>
      </c>
      <c r="S8" s="1" t="s">
        <v>7</v>
      </c>
      <c r="U8" s="1"/>
      <c r="V8" s="4" t="s">
        <v>81</v>
      </c>
      <c r="W8" s="7" t="s">
        <v>112</v>
      </c>
    </row>
    <row r="9" spans="2:23" ht="12.75">
      <c r="B9" s="3" t="s">
        <v>9</v>
      </c>
      <c r="C9" s="4" t="s">
        <v>51</v>
      </c>
      <c r="D9" s="10" t="s">
        <v>109</v>
      </c>
      <c r="E9" s="4" t="s">
        <v>53</v>
      </c>
      <c r="F9" s="10" t="s">
        <v>109</v>
      </c>
      <c r="G9" s="4" t="s">
        <v>8</v>
      </c>
      <c r="H9" s="1" t="s">
        <v>109</v>
      </c>
      <c r="I9" s="4" t="s">
        <v>8</v>
      </c>
      <c r="J9" s="1" t="s">
        <v>109</v>
      </c>
      <c r="K9" s="4" t="s">
        <v>8</v>
      </c>
      <c r="L9" s="10" t="s">
        <v>109</v>
      </c>
      <c r="M9" s="4" t="s">
        <v>8</v>
      </c>
      <c r="N9" s="10" t="s">
        <v>109</v>
      </c>
      <c r="Q9" s="1"/>
      <c r="R9" s="1" t="s">
        <v>111</v>
      </c>
      <c r="S9" s="1" t="s">
        <v>109</v>
      </c>
      <c r="U9" s="1"/>
      <c r="V9" s="3"/>
      <c r="W9" s="11"/>
    </row>
    <row r="10" spans="14:23" ht="12.75">
      <c r="N10" s="9"/>
      <c r="U10" s="1"/>
      <c r="V10" s="3"/>
      <c r="W10" s="11"/>
    </row>
    <row r="11" spans="1:23" ht="12.75">
      <c r="A11" s="1" t="s">
        <v>38</v>
      </c>
      <c r="B11" s="3">
        <v>72</v>
      </c>
      <c r="C11" s="3">
        <f>(470.16/453.59237)*B11</f>
        <v>74.62982677596627</v>
      </c>
      <c r="D11" s="9">
        <f>(1000/470.16)*B11</f>
        <v>153.13935681470136</v>
      </c>
      <c r="E11" s="3">
        <v>48</v>
      </c>
      <c r="F11" s="9">
        <f aca="true" t="shared" si="0" ref="F11:F17">(1000/453.59237)*E11</f>
        <v>105.82188584874123</v>
      </c>
      <c r="G11" s="3">
        <f aca="true" t="shared" si="1" ref="G11:G16">H11*0.45359237</f>
        <v>11.530318045400001</v>
      </c>
      <c r="H11" s="3">
        <v>25.42</v>
      </c>
      <c r="I11" s="3">
        <v>28.748684410600003</v>
      </c>
      <c r="J11" s="3">
        <v>63.38</v>
      </c>
      <c r="K11" s="3">
        <f aca="true" t="shared" si="2" ref="K11:K18">L11*0.45359237</f>
        <v>17.23651006</v>
      </c>
      <c r="L11" s="9">
        <v>38</v>
      </c>
      <c r="M11" s="3">
        <f aca="true" t="shared" si="3" ref="M11:M18">N11*0.45359237</f>
        <v>17.23651006</v>
      </c>
      <c r="N11" s="9">
        <v>38</v>
      </c>
      <c r="O11" s="3"/>
      <c r="Q11" s="1" t="s">
        <v>14</v>
      </c>
      <c r="R11" s="3">
        <f aca="true" t="shared" si="4" ref="R11:R27">S11*0.45359237</f>
        <v>23.586803240000002</v>
      </c>
      <c r="S11" s="3">
        <v>52</v>
      </c>
      <c r="U11" s="1" t="s">
        <v>14</v>
      </c>
      <c r="V11" s="3">
        <v>52</v>
      </c>
      <c r="W11" s="11">
        <f aca="true" t="shared" si="5" ref="W11:W29">V11*0.45359237</f>
        <v>23.586803240000002</v>
      </c>
    </row>
    <row r="12" spans="1:23" ht="12.75">
      <c r="A12" s="1" t="s">
        <v>36</v>
      </c>
      <c r="B12" s="3">
        <v>21.75</v>
      </c>
      <c r="C12" s="3">
        <f>(470.16/453.59237)*B12</f>
        <v>22.544426838573145</v>
      </c>
      <c r="D12" s="9">
        <f>(1000/470.16)*B12</f>
        <v>46.26084737110771</v>
      </c>
      <c r="E12" s="3">
        <v>20</v>
      </c>
      <c r="F12" s="9">
        <f t="shared" si="0"/>
        <v>44.09245243697551</v>
      </c>
      <c r="G12" s="3">
        <f t="shared" si="1"/>
        <v>9.021952239300001</v>
      </c>
      <c r="H12" s="3">
        <v>19.89</v>
      </c>
      <c r="I12" s="3">
        <v>9.021952239300001</v>
      </c>
      <c r="J12" s="3">
        <v>19.89</v>
      </c>
      <c r="K12" s="3">
        <f t="shared" si="2"/>
        <v>4.309127515</v>
      </c>
      <c r="L12" s="9">
        <v>9.5</v>
      </c>
      <c r="M12" s="3">
        <f t="shared" si="3"/>
        <v>4.309127515</v>
      </c>
      <c r="N12" s="9">
        <v>9.5</v>
      </c>
      <c r="O12" s="3"/>
      <c r="Q12" s="1" t="s">
        <v>18</v>
      </c>
      <c r="R12" s="3">
        <f t="shared" si="4"/>
        <v>10.9905431251</v>
      </c>
      <c r="S12" s="3">
        <v>24.23</v>
      </c>
      <c r="U12" s="1" t="s">
        <v>18</v>
      </c>
      <c r="V12" s="3">
        <v>24.23</v>
      </c>
      <c r="W12" s="11">
        <f t="shared" si="5"/>
        <v>10.9905431251</v>
      </c>
    </row>
    <row r="13" spans="1:23" ht="12.75">
      <c r="A13" s="1" t="s">
        <v>63</v>
      </c>
      <c r="B13" s="3">
        <v>15</v>
      </c>
      <c r="C13" s="3">
        <f>(470.16/453.59237)*B13</f>
        <v>15.547880578326307</v>
      </c>
      <c r="D13" s="9">
        <f>(1000/470.16)*B13</f>
        <v>31.904032669729453</v>
      </c>
      <c r="E13" s="3">
        <v>28</v>
      </c>
      <c r="F13" s="9">
        <f t="shared" si="0"/>
        <v>61.72943341176572</v>
      </c>
      <c r="G13" s="3">
        <f t="shared" si="1"/>
        <v>7.6702469767000006</v>
      </c>
      <c r="H13" s="3">
        <v>16.91</v>
      </c>
      <c r="I13" s="3">
        <v>7.6702469767000006</v>
      </c>
      <c r="J13" s="3">
        <v>16.91</v>
      </c>
      <c r="K13" s="3">
        <f t="shared" si="2"/>
        <v>7.6702469767000006</v>
      </c>
      <c r="L13" s="9">
        <v>16.91</v>
      </c>
      <c r="M13" s="3">
        <f t="shared" si="3"/>
        <v>7.6702469767000006</v>
      </c>
      <c r="N13" s="9">
        <v>16.91</v>
      </c>
      <c r="O13" s="3"/>
      <c r="Q13" s="1" t="s">
        <v>31</v>
      </c>
      <c r="R13" s="3">
        <f t="shared" si="4"/>
        <v>27.2155422</v>
      </c>
      <c r="S13" s="3">
        <v>60</v>
      </c>
      <c r="U13" s="1" t="s">
        <v>31</v>
      </c>
      <c r="V13" s="3">
        <v>60</v>
      </c>
      <c r="W13" s="11">
        <f t="shared" si="5"/>
        <v>27.2155422</v>
      </c>
    </row>
    <row r="14" spans="1:23" ht="12.75">
      <c r="A14" s="1" t="s">
        <v>89</v>
      </c>
      <c r="E14" s="3">
        <v>36</v>
      </c>
      <c r="F14" s="9">
        <f t="shared" si="0"/>
        <v>79.36641438655593</v>
      </c>
      <c r="G14" s="3">
        <f t="shared" si="1"/>
        <v>22.4119990017</v>
      </c>
      <c r="H14" s="3">
        <v>49.41</v>
      </c>
      <c r="I14" s="3">
        <v>36.287389600000004</v>
      </c>
      <c r="J14" s="3">
        <v>80</v>
      </c>
      <c r="K14" s="3">
        <f t="shared" si="2"/>
        <v>36.287389600000004</v>
      </c>
      <c r="L14" s="9">
        <v>80</v>
      </c>
      <c r="M14" s="3">
        <f t="shared" si="3"/>
        <v>36.287389600000004</v>
      </c>
      <c r="N14" s="9">
        <v>80</v>
      </c>
      <c r="O14" s="3"/>
      <c r="Q14" s="1" t="s">
        <v>33</v>
      </c>
      <c r="R14" s="3">
        <f t="shared" si="4"/>
        <v>10.160469088</v>
      </c>
      <c r="S14" s="3">
        <v>22.4</v>
      </c>
      <c r="U14" s="1" t="s">
        <v>33</v>
      </c>
      <c r="V14" s="3">
        <v>22.4</v>
      </c>
      <c r="W14" s="11">
        <f t="shared" si="5"/>
        <v>10.160469088</v>
      </c>
    </row>
    <row r="15" spans="1:23" ht="12.75">
      <c r="A15" s="1" t="s">
        <v>106</v>
      </c>
      <c r="B15" s="3">
        <v>19.5</v>
      </c>
      <c r="C15" s="3">
        <f>(470.16/453.59237)*B15</f>
        <v>20.212244751824198</v>
      </c>
      <c r="D15" s="9">
        <f>(1000/470.16)*B15</f>
        <v>41.47524247064829</v>
      </c>
      <c r="E15" s="3">
        <v>12.75</v>
      </c>
      <c r="F15" s="9">
        <f t="shared" si="0"/>
        <v>28.10893842857189</v>
      </c>
      <c r="G15" s="3">
        <f t="shared" si="1"/>
        <v>10.9860072014</v>
      </c>
      <c r="H15" s="3">
        <v>24.22</v>
      </c>
      <c r="I15" s="3">
        <v>13.6077711</v>
      </c>
      <c r="J15" s="3">
        <v>30</v>
      </c>
      <c r="K15" s="3">
        <f t="shared" si="2"/>
        <v>8.9902007734</v>
      </c>
      <c r="L15" s="9">
        <v>19.82</v>
      </c>
      <c r="M15" s="3">
        <f t="shared" si="3"/>
        <v>8.9902007734</v>
      </c>
      <c r="N15" s="9">
        <v>19.82</v>
      </c>
      <c r="O15" s="3"/>
      <c r="Q15" s="1" t="s">
        <v>38</v>
      </c>
      <c r="R15" s="3">
        <f t="shared" si="4"/>
        <v>17.23651006</v>
      </c>
      <c r="S15" s="3">
        <v>38</v>
      </c>
      <c r="U15" s="1" t="s">
        <v>39</v>
      </c>
      <c r="V15" s="3">
        <v>38</v>
      </c>
      <c r="W15" s="11">
        <f t="shared" si="5"/>
        <v>17.23651006</v>
      </c>
    </row>
    <row r="16" spans="1:23" ht="12.75">
      <c r="A16" s="1" t="s">
        <v>120</v>
      </c>
      <c r="B16" s="3">
        <v>360</v>
      </c>
      <c r="C16" s="3">
        <f>(470.16/453.59237)*B16</f>
        <v>373.14913387983137</v>
      </c>
      <c r="D16" s="9">
        <f>(1000/470.16)*B16</f>
        <v>765.6967840735068</v>
      </c>
      <c r="E16" s="3">
        <f>(14*12+8)</f>
        <v>176</v>
      </c>
      <c r="F16" s="9">
        <f t="shared" si="0"/>
        <v>388.0135814453845</v>
      </c>
      <c r="G16" s="3">
        <f t="shared" si="1"/>
        <v>1700.9713875</v>
      </c>
      <c r="H16" s="3">
        <f>1000*3.75</f>
        <v>3750</v>
      </c>
      <c r="I16" s="3">
        <v>1700.9713875</v>
      </c>
      <c r="J16" s="3">
        <v>3750</v>
      </c>
      <c r="K16" s="3">
        <f t="shared" si="2"/>
        <v>1700.9713875</v>
      </c>
      <c r="L16" s="9">
        <v>3750</v>
      </c>
      <c r="M16" s="3">
        <f t="shared" si="3"/>
        <v>1700.9713875</v>
      </c>
      <c r="N16" s="9">
        <v>3750</v>
      </c>
      <c r="O16" s="3"/>
      <c r="Q16" s="1" t="s">
        <v>37</v>
      </c>
      <c r="R16" s="3">
        <f t="shared" si="4"/>
        <v>4.309127515</v>
      </c>
      <c r="S16" s="3">
        <v>9.5</v>
      </c>
      <c r="U16" s="1" t="s">
        <v>40</v>
      </c>
      <c r="V16" s="3">
        <v>32.85</v>
      </c>
      <c r="W16" s="11">
        <f t="shared" si="5"/>
        <v>14.900509354500002</v>
      </c>
    </row>
    <row r="17" spans="1:23" ht="12.75">
      <c r="A17" s="1" t="s">
        <v>124</v>
      </c>
      <c r="B17" s="3">
        <v>12</v>
      </c>
      <c r="C17" s="3">
        <f>(470.16/453.59237)*B17</f>
        <v>12.438304462661044</v>
      </c>
      <c r="D17" s="9">
        <f>(1000/470.16)*B17</f>
        <v>25.52322613578356</v>
      </c>
      <c r="E17" s="3">
        <v>24</v>
      </c>
      <c r="F17" s="9">
        <f t="shared" si="0"/>
        <v>52.910942924370616</v>
      </c>
      <c r="G17" s="3">
        <v>0.74</v>
      </c>
      <c r="H17">
        <v>1.63</v>
      </c>
      <c r="I17" s="3">
        <v>1.9958064280000003</v>
      </c>
      <c r="J17" s="3">
        <v>4.4</v>
      </c>
      <c r="K17" s="3">
        <f t="shared" si="2"/>
        <v>2.2679618500000003</v>
      </c>
      <c r="L17" s="9">
        <v>5</v>
      </c>
      <c r="M17" s="3">
        <f t="shared" si="3"/>
        <v>1.0296546799000001</v>
      </c>
      <c r="N17" s="9">
        <v>2.27</v>
      </c>
      <c r="Q17" s="1" t="s">
        <v>41</v>
      </c>
      <c r="R17" s="3">
        <f t="shared" si="4"/>
        <v>8.500321013799999</v>
      </c>
      <c r="S17" s="3">
        <v>18.74</v>
      </c>
      <c r="U17" s="1" t="s">
        <v>37</v>
      </c>
      <c r="V17" s="3">
        <v>19.89</v>
      </c>
      <c r="W17" s="11">
        <f t="shared" si="5"/>
        <v>9.021952239300001</v>
      </c>
    </row>
    <row r="18" spans="1:23" ht="12.75">
      <c r="A18" s="1" t="s">
        <v>28</v>
      </c>
      <c r="G18" s="3">
        <v>1.66</v>
      </c>
      <c r="H18">
        <v>3.67</v>
      </c>
      <c r="I18" s="3">
        <v>1.1113013065000001</v>
      </c>
      <c r="J18" s="3">
        <v>2.45</v>
      </c>
      <c r="K18" s="3">
        <f t="shared" si="2"/>
        <v>1.1113013065000001</v>
      </c>
      <c r="L18" s="9">
        <v>2.45</v>
      </c>
      <c r="M18" s="3">
        <f t="shared" si="3"/>
        <v>1.1113013065000001</v>
      </c>
      <c r="N18" s="9">
        <v>2.45</v>
      </c>
      <c r="Q18" s="1" t="s">
        <v>35</v>
      </c>
      <c r="R18" s="3">
        <f t="shared" si="4"/>
        <v>8.9856648497</v>
      </c>
      <c r="S18" s="3">
        <v>19.81</v>
      </c>
      <c r="U18" s="1" t="s">
        <v>41</v>
      </c>
      <c r="V18" s="3">
        <v>18.74</v>
      </c>
      <c r="W18" s="11">
        <f t="shared" si="5"/>
        <v>8.500321013799999</v>
      </c>
    </row>
    <row r="19" spans="14:23" ht="12.75">
      <c r="N19" s="9"/>
      <c r="Q19" s="1" t="s">
        <v>47</v>
      </c>
      <c r="R19" s="3">
        <f t="shared" si="4"/>
        <v>9.9881039874</v>
      </c>
      <c r="S19" s="3">
        <v>22.02</v>
      </c>
      <c r="U19" s="1" t="s">
        <v>35</v>
      </c>
      <c r="V19" s="3">
        <v>19.81</v>
      </c>
      <c r="W19" s="11">
        <f t="shared" si="5"/>
        <v>8.9856648497</v>
      </c>
    </row>
    <row r="20" spans="11:23" ht="12.75">
      <c r="K20" s="1" t="s">
        <v>133</v>
      </c>
      <c r="M20" s="1" t="s">
        <v>133</v>
      </c>
      <c r="N20" s="9"/>
      <c r="Q20" s="1" t="s">
        <v>60</v>
      </c>
      <c r="R20" s="3">
        <f t="shared" si="4"/>
        <v>9.620694167700002</v>
      </c>
      <c r="S20" s="3">
        <v>21.21</v>
      </c>
      <c r="U20" s="1" t="s">
        <v>47</v>
      </c>
      <c r="V20" s="3">
        <v>22.02</v>
      </c>
      <c r="W20" s="11">
        <f t="shared" si="5"/>
        <v>9.9881039874</v>
      </c>
    </row>
    <row r="21" spans="11:23" ht="12.75">
      <c r="K21" s="1" t="s">
        <v>32</v>
      </c>
      <c r="M21" s="1" t="s">
        <v>32</v>
      </c>
      <c r="N21" s="9"/>
      <c r="Q21" s="1" t="s">
        <v>61</v>
      </c>
      <c r="R21" s="3">
        <f t="shared" si="4"/>
        <v>7.6702469767000006</v>
      </c>
      <c r="S21" s="3">
        <v>16.91</v>
      </c>
      <c r="U21" s="1" t="s">
        <v>60</v>
      </c>
      <c r="V21" s="3">
        <v>21.21</v>
      </c>
      <c r="W21" s="11">
        <f t="shared" si="5"/>
        <v>9.620694167700002</v>
      </c>
    </row>
    <row r="22" spans="3:23" ht="12.75">
      <c r="C22" s="1" t="s">
        <v>19</v>
      </c>
      <c r="E22" s="1" t="s">
        <v>88</v>
      </c>
      <c r="H22" s="1"/>
      <c r="K22" s="4" t="s">
        <v>56</v>
      </c>
      <c r="M22" s="4" t="s">
        <v>57</v>
      </c>
      <c r="N22" s="9"/>
      <c r="Q22" s="1" t="s">
        <v>63</v>
      </c>
      <c r="R22" s="3">
        <f t="shared" si="4"/>
        <v>7.6702469767000006</v>
      </c>
      <c r="S22" s="3">
        <v>16.91</v>
      </c>
      <c r="U22" s="1" t="s">
        <v>61</v>
      </c>
      <c r="V22" s="3">
        <v>16.91</v>
      </c>
      <c r="W22" s="11">
        <f t="shared" si="5"/>
        <v>7.6702469767000006</v>
      </c>
    </row>
    <row r="23" spans="3:23" ht="12.75">
      <c r="C23" s="1" t="s">
        <v>55</v>
      </c>
      <c r="E23" s="1" t="s">
        <v>55</v>
      </c>
      <c r="H23" s="1"/>
      <c r="K23" s="4" t="s">
        <v>68</v>
      </c>
      <c r="M23" s="4" t="s">
        <v>68</v>
      </c>
      <c r="N23" s="9"/>
      <c r="Q23" s="1" t="s">
        <v>89</v>
      </c>
      <c r="R23" s="3">
        <f t="shared" si="4"/>
        <v>36.287389600000004</v>
      </c>
      <c r="S23" s="3">
        <v>80</v>
      </c>
      <c r="U23" s="1" t="s">
        <v>63</v>
      </c>
      <c r="V23" s="3">
        <v>16.91</v>
      </c>
      <c r="W23" s="11">
        <f t="shared" si="5"/>
        <v>7.6702469767000006</v>
      </c>
    </row>
    <row r="24" spans="3:23" ht="12.75">
      <c r="C24" s="4" t="s">
        <v>72</v>
      </c>
      <c r="E24" s="4" t="s">
        <v>74</v>
      </c>
      <c r="H24" s="4"/>
      <c r="K24" s="1" t="s">
        <v>2</v>
      </c>
      <c r="L24" s="1"/>
      <c r="M24" s="1" t="s">
        <v>4</v>
      </c>
      <c r="N24" s="9"/>
      <c r="Q24" s="1" t="s">
        <v>100</v>
      </c>
      <c r="R24" s="3">
        <f t="shared" si="4"/>
        <v>22.112628037500002</v>
      </c>
      <c r="S24" s="3">
        <v>48.75</v>
      </c>
      <c r="U24" s="1" t="s">
        <v>89</v>
      </c>
      <c r="V24" s="3">
        <v>80</v>
      </c>
      <c r="W24" s="11">
        <f t="shared" si="5"/>
        <v>36.287389600000004</v>
      </c>
    </row>
    <row r="25" spans="8:23" ht="12.75">
      <c r="H25" s="3"/>
      <c r="K25" s="3"/>
      <c r="M25" s="3"/>
      <c r="N25" s="9"/>
      <c r="Q25" s="1" t="s">
        <v>106</v>
      </c>
      <c r="R25" s="3">
        <f t="shared" si="4"/>
        <v>8.9902007734</v>
      </c>
      <c r="S25" s="3">
        <v>19.82</v>
      </c>
      <c r="U25" s="1" t="s">
        <v>101</v>
      </c>
      <c r="V25" s="3">
        <v>48.75</v>
      </c>
      <c r="W25" s="11">
        <f t="shared" si="5"/>
        <v>22.112628037500002</v>
      </c>
    </row>
    <row r="26" spans="3:23" ht="12.75">
      <c r="C26" s="3">
        <v>10</v>
      </c>
      <c r="D26" s="9">
        <v>10</v>
      </c>
      <c r="E26" s="3">
        <v>8</v>
      </c>
      <c r="F26" s="9">
        <v>8</v>
      </c>
      <c r="H26" s="3"/>
      <c r="K26" s="3">
        <f>30.31*8</f>
        <v>242.48</v>
      </c>
      <c r="L26" s="9">
        <f>30.31*8</f>
        <v>242.48</v>
      </c>
      <c r="M26" s="3">
        <f>33.07*8</f>
        <v>264.56</v>
      </c>
      <c r="N26" s="3">
        <f>33.07*8</f>
        <v>264.56</v>
      </c>
      <c r="Q26" s="1" t="s">
        <v>120</v>
      </c>
      <c r="R26" s="3">
        <f t="shared" si="4"/>
        <v>1700.9713875</v>
      </c>
      <c r="S26" s="3">
        <v>3750</v>
      </c>
      <c r="U26" s="1" t="s">
        <v>102</v>
      </c>
      <c r="V26" s="3">
        <v>73.95</v>
      </c>
      <c r="W26" s="11">
        <f t="shared" si="5"/>
        <v>33.5431557615</v>
      </c>
    </row>
    <row r="27" spans="8:23" ht="12.75">
      <c r="H27" s="3"/>
      <c r="K27" s="3"/>
      <c r="M27" s="3"/>
      <c r="N27" s="9"/>
      <c r="Q27" s="1" t="s">
        <v>141</v>
      </c>
      <c r="R27" s="3">
        <f t="shared" si="4"/>
        <v>8.9902007734</v>
      </c>
      <c r="S27" s="3">
        <v>19.82</v>
      </c>
      <c r="U27" s="1" t="s">
        <v>106</v>
      </c>
      <c r="V27" s="3">
        <v>24.23</v>
      </c>
      <c r="W27" s="11">
        <f t="shared" si="5"/>
        <v>10.9905431251</v>
      </c>
    </row>
    <row r="28" spans="1:23" ht="12.75">
      <c r="A28" s="1" t="s">
        <v>93</v>
      </c>
      <c r="C28" s="4" t="s">
        <v>87</v>
      </c>
      <c r="D28" s="10" t="s">
        <v>66</v>
      </c>
      <c r="E28" s="4" t="s">
        <v>87</v>
      </c>
      <c r="F28" s="10" t="s">
        <v>66</v>
      </c>
      <c r="H28" s="4"/>
      <c r="K28" s="4" t="s">
        <v>87</v>
      </c>
      <c r="L28" s="4" t="s">
        <v>80</v>
      </c>
      <c r="M28" s="4" t="s">
        <v>87</v>
      </c>
      <c r="N28" s="4" t="s">
        <v>80</v>
      </c>
      <c r="U28" s="1" t="s">
        <v>120</v>
      </c>
      <c r="V28" s="3">
        <v>3750</v>
      </c>
      <c r="W28" s="11">
        <f t="shared" si="5"/>
        <v>1700.9713875</v>
      </c>
    </row>
    <row r="29" spans="3:23" ht="12.75">
      <c r="C29" s="4" t="s">
        <v>148</v>
      </c>
      <c r="D29" s="10" t="s">
        <v>148</v>
      </c>
      <c r="E29" s="4" t="s">
        <v>148</v>
      </c>
      <c r="F29" s="10" t="s">
        <v>148</v>
      </c>
      <c r="H29" s="4"/>
      <c r="K29" s="4" t="s">
        <v>148</v>
      </c>
      <c r="L29" s="4" t="s">
        <v>148</v>
      </c>
      <c r="M29" s="4" t="s">
        <v>148</v>
      </c>
      <c r="N29" s="4" t="s">
        <v>148</v>
      </c>
      <c r="Q29" s="1" t="s">
        <v>108</v>
      </c>
      <c r="R29" s="3">
        <f>S29*0.45359237</f>
        <v>31.751465900000003</v>
      </c>
      <c r="S29" s="3">
        <v>70</v>
      </c>
      <c r="U29" s="1" t="s">
        <v>141</v>
      </c>
      <c r="V29" s="3">
        <v>19.82</v>
      </c>
      <c r="W29" s="11">
        <f t="shared" si="5"/>
        <v>8.9902007734</v>
      </c>
    </row>
    <row r="30" spans="8:23" ht="12.75">
      <c r="H30" s="3"/>
      <c r="K30" s="3"/>
      <c r="M30" s="3"/>
      <c r="N30" s="9"/>
      <c r="Q30" s="1" t="s">
        <v>144</v>
      </c>
      <c r="R30" s="3">
        <f>S30*0.45359237</f>
        <v>19.985279822200003</v>
      </c>
      <c r="S30" s="3">
        <v>44.06</v>
      </c>
      <c r="U30" s="1"/>
      <c r="V30" s="3"/>
      <c r="W30" s="11"/>
    </row>
    <row r="31" spans="1:23" ht="12.75">
      <c r="A31" s="1" t="s">
        <v>38</v>
      </c>
      <c r="C31" s="3">
        <f>10/C11</f>
        <v>0.13399468325203714</v>
      </c>
      <c r="D31" s="9">
        <f>(10/D11)*1000</f>
        <v>65.30000000000001</v>
      </c>
      <c r="E31" s="3">
        <f aca="true" t="shared" si="6" ref="E31:E37">8/E11</f>
        <v>0.16666666666666666</v>
      </c>
      <c r="F31" s="9">
        <f aca="true" t="shared" si="7" ref="F31:F37">(8/F11)*1000</f>
        <v>75.59872833333334</v>
      </c>
      <c r="H31" s="3"/>
      <c r="K31" s="11">
        <f aca="true" t="shared" si="8" ref="K31:K37">$K$26/K11</f>
        <v>14.067812982786608</v>
      </c>
      <c r="L31" s="11">
        <f aca="true" t="shared" si="9" ref="L31:L37">(242.48/L11)</f>
        <v>6.381052631578947</v>
      </c>
      <c r="M31" s="11">
        <f aca="true" t="shared" si="10" ref="M31:M37">$M$26/M11</f>
        <v>15.348814758850319</v>
      </c>
      <c r="N31" s="11">
        <f aca="true" t="shared" si="11" ref="N31:N37">(264.56/N11)</f>
        <v>6.962105263157895</v>
      </c>
      <c r="Q31" s="1" t="s">
        <v>28</v>
      </c>
      <c r="R31" s="3">
        <f>S31*0.45359237</f>
        <v>1.1113013065000001</v>
      </c>
      <c r="S31" s="3">
        <v>2.45</v>
      </c>
      <c r="U31" s="1" t="s">
        <v>108</v>
      </c>
      <c r="V31" s="3">
        <v>90</v>
      </c>
      <c r="W31" s="11">
        <f>V31*0.45359237</f>
        <v>40.8233133</v>
      </c>
    </row>
    <row r="32" spans="1:23" ht="12.75">
      <c r="A32" s="1" t="s">
        <v>36</v>
      </c>
      <c r="C32" s="3">
        <f>10/C12</f>
        <v>0.44356860662743325</v>
      </c>
      <c r="D32" s="9">
        <f>(10/D12)*1000</f>
        <v>216.16551724137932</v>
      </c>
      <c r="E32" s="3">
        <f t="shared" si="6"/>
        <v>0.4</v>
      </c>
      <c r="F32" s="9">
        <f t="shared" si="7"/>
        <v>181.436948</v>
      </c>
      <c r="H32" s="3"/>
      <c r="K32" s="11">
        <f t="shared" si="8"/>
        <v>56.27125193114643</v>
      </c>
      <c r="L32" s="11">
        <f t="shared" si="9"/>
        <v>25.524210526315787</v>
      </c>
      <c r="M32" s="11">
        <f t="shared" si="10"/>
        <v>61.395259035401274</v>
      </c>
      <c r="N32" s="11">
        <f t="shared" si="11"/>
        <v>27.84842105263158</v>
      </c>
      <c r="Q32" s="1" t="s">
        <v>119</v>
      </c>
      <c r="R32" s="3">
        <f>S32*0.45359237</f>
        <v>2.2679618500000003</v>
      </c>
      <c r="S32" s="3">
        <v>5</v>
      </c>
      <c r="U32" s="1" t="s">
        <v>144</v>
      </c>
      <c r="V32" s="3">
        <v>44.06</v>
      </c>
      <c r="W32" s="11">
        <f>V32*0.45359237</f>
        <v>19.985279822200003</v>
      </c>
    </row>
    <row r="33" spans="1:23" ht="12.75">
      <c r="A33" s="1" t="s">
        <v>63</v>
      </c>
      <c r="C33" s="3">
        <f>10/C13</f>
        <v>0.6431744796097782</v>
      </c>
      <c r="D33" s="9">
        <f>(10/D13)*1000</f>
        <v>313.44</v>
      </c>
      <c r="E33" s="3">
        <f t="shared" si="6"/>
        <v>0.2857142857142857</v>
      </c>
      <c r="F33" s="9">
        <f t="shared" si="7"/>
        <v>129.59782</v>
      </c>
      <c r="H33" s="3"/>
      <c r="K33" s="11">
        <f t="shared" si="8"/>
        <v>31.613062882666533</v>
      </c>
      <c r="L33" s="11">
        <f t="shared" si="9"/>
        <v>14.339444115907746</v>
      </c>
      <c r="M33" s="11">
        <f t="shared" si="10"/>
        <v>34.4917185592142</v>
      </c>
      <c r="N33" s="11">
        <f t="shared" si="11"/>
        <v>15.645180366646954</v>
      </c>
      <c r="U33" s="1" t="s">
        <v>28</v>
      </c>
      <c r="V33" s="3">
        <v>2.45</v>
      </c>
      <c r="W33" s="11">
        <f>V33*0.45359237</f>
        <v>1.1113013065000001</v>
      </c>
    </row>
    <row r="34" spans="1:23" ht="12.75">
      <c r="A34" s="1" t="s">
        <v>89</v>
      </c>
      <c r="E34" s="3">
        <f t="shared" si="6"/>
        <v>0.2222222222222222</v>
      </c>
      <c r="F34" s="9">
        <f t="shared" si="7"/>
        <v>100.79830444444444</v>
      </c>
      <c r="H34" s="3"/>
      <c r="K34" s="11">
        <f t="shared" si="8"/>
        <v>6.682211166823638</v>
      </c>
      <c r="L34" s="11">
        <f t="shared" si="9"/>
        <v>3.0309999999999997</v>
      </c>
      <c r="M34" s="11">
        <f t="shared" si="10"/>
        <v>7.290687010453901</v>
      </c>
      <c r="N34" s="11">
        <f t="shared" si="11"/>
        <v>3.307</v>
      </c>
      <c r="U34" s="1" t="s">
        <v>119</v>
      </c>
      <c r="V34" s="3">
        <v>2.85</v>
      </c>
      <c r="W34" s="11">
        <f>V34*0.45359237</f>
        <v>1.2927382545000001</v>
      </c>
    </row>
    <row r="35" spans="1:23" ht="12.75">
      <c r="A35" s="1" t="s">
        <v>106</v>
      </c>
      <c r="C35" s="3">
        <f>10/C15</f>
        <v>0.4947495996998294</v>
      </c>
      <c r="D35" s="9">
        <f>(10/D15)*1000</f>
        <v>241.1076923076923</v>
      </c>
      <c r="E35" s="3">
        <f t="shared" si="6"/>
        <v>0.6274509803921569</v>
      </c>
      <c r="F35" s="9">
        <f t="shared" si="7"/>
        <v>284.60697725490195</v>
      </c>
      <c r="H35" s="3"/>
      <c r="K35" s="11">
        <f t="shared" si="8"/>
        <v>26.971588968006618</v>
      </c>
      <c r="L35" s="11">
        <f t="shared" si="9"/>
        <v>12.234106962663976</v>
      </c>
      <c r="M35" s="11">
        <f t="shared" si="10"/>
        <v>29.427596409501117</v>
      </c>
      <c r="N35" s="11">
        <f t="shared" si="11"/>
        <v>13.348133198789101</v>
      </c>
      <c r="U35" s="1" t="s">
        <v>125</v>
      </c>
      <c r="V35">
        <v>1.96</v>
      </c>
      <c r="W35" s="11">
        <f>V35*0.45359237</f>
        <v>0.8890410452</v>
      </c>
    </row>
    <row r="36" spans="1:14" ht="12.75">
      <c r="A36" s="1" t="s">
        <v>120</v>
      </c>
      <c r="C36" s="3">
        <f>10/C16</f>
        <v>0.026798936650407425</v>
      </c>
      <c r="D36" s="9">
        <f>(10/D16)*1000</f>
        <v>13.06</v>
      </c>
      <c r="E36" s="3">
        <f t="shared" si="6"/>
        <v>0.045454545454545456</v>
      </c>
      <c r="F36" s="9">
        <f t="shared" si="7"/>
        <v>20.617835000000003</v>
      </c>
      <c r="H36" s="3"/>
      <c r="K36" s="11">
        <f t="shared" si="8"/>
        <v>0.14255383822557097</v>
      </c>
      <c r="L36" s="11">
        <f t="shared" si="9"/>
        <v>0.06466133333333333</v>
      </c>
      <c r="M36" s="11">
        <f t="shared" si="10"/>
        <v>0.15553465622301657</v>
      </c>
      <c r="N36" s="11">
        <f t="shared" si="11"/>
        <v>0.07054933333333334</v>
      </c>
    </row>
    <row r="37" spans="1:14" ht="12.75">
      <c r="A37" s="1" t="s">
        <v>124</v>
      </c>
      <c r="C37" s="3">
        <f>10/C17</f>
        <v>0.8039680995122228</v>
      </c>
      <c r="D37" s="9">
        <f>(10/D17)*1000</f>
        <v>391.8</v>
      </c>
      <c r="E37" s="3">
        <f t="shared" si="6"/>
        <v>0.3333333333333333</v>
      </c>
      <c r="F37" s="9">
        <f t="shared" si="7"/>
        <v>151.19745666666668</v>
      </c>
      <c r="H37" s="3"/>
      <c r="K37" s="11">
        <f t="shared" si="8"/>
        <v>106.91537866917821</v>
      </c>
      <c r="L37" s="11">
        <f t="shared" si="9"/>
        <v>48.495999999999995</v>
      </c>
      <c r="M37" s="11">
        <f t="shared" si="10"/>
        <v>256.94051138163525</v>
      </c>
      <c r="N37" s="11">
        <f t="shared" si="11"/>
        <v>116.54625550660793</v>
      </c>
    </row>
    <row r="38" spans="8:14" ht="12.75">
      <c r="H38" s="3"/>
      <c r="K38" s="3"/>
      <c r="M38" s="3"/>
      <c r="N38" s="9"/>
    </row>
    <row r="39" spans="8:9" ht="12.75">
      <c r="H39" s="3"/>
      <c r="I39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57"/>
  <sheetViews>
    <sheetView zoomScalePageLayoutView="0" workbookViewId="0" topLeftCell="A1">
      <pane xSplit="1" ySplit="10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1" sqref="B31"/>
    </sheetView>
  </sheetViews>
  <sheetFormatPr defaultColWidth="9.140625" defaultRowHeight="12.75"/>
  <cols>
    <col min="1" max="1" width="13.421875" style="0" customWidth="1"/>
    <col min="2" max="2" width="12.00390625" style="3" customWidth="1"/>
    <col min="3" max="3" width="12.140625" style="3" customWidth="1"/>
    <col min="4" max="7" width="12.00390625" style="3" customWidth="1"/>
    <col min="8" max="8" width="16.57421875" style="3" customWidth="1"/>
    <col min="9" max="9" width="16.57421875" style="9" customWidth="1"/>
    <col min="10" max="10" width="16.57421875" style="2" customWidth="1"/>
    <col min="11" max="11" width="10.7109375" style="12" customWidth="1"/>
  </cols>
  <sheetData>
    <row r="1" spans="2:9" ht="12.75">
      <c r="B1" s="4" t="s">
        <v>117</v>
      </c>
      <c r="C1" s="4"/>
      <c r="D1" s="4"/>
      <c r="E1" s="4"/>
      <c r="F1" s="4"/>
      <c r="I1" s="10"/>
    </row>
    <row r="2" spans="2:9" ht="12.75">
      <c r="B2" s="4" t="s">
        <v>78</v>
      </c>
      <c r="C2" s="4"/>
      <c r="D2" s="4"/>
      <c r="E2" s="4"/>
      <c r="F2" s="4"/>
      <c r="I2" s="10"/>
    </row>
    <row r="3" spans="2:9" ht="12.75">
      <c r="B3" s="4" t="s">
        <v>75</v>
      </c>
      <c r="C3" s="4"/>
      <c r="D3" s="4"/>
      <c r="E3" s="4"/>
      <c r="F3" s="4"/>
      <c r="I3" s="10"/>
    </row>
    <row r="4" spans="2:9" ht="12.75">
      <c r="B4" s="4" t="s">
        <v>16</v>
      </c>
      <c r="C4" s="4"/>
      <c r="D4" s="4"/>
      <c r="E4" s="4"/>
      <c r="F4" s="4"/>
      <c r="I4" s="10"/>
    </row>
    <row r="6" spans="8:9" ht="12.75">
      <c r="H6" s="4"/>
      <c r="I6" s="10"/>
    </row>
    <row r="7" spans="1:9" ht="12.75">
      <c r="A7" s="1" t="s">
        <v>92</v>
      </c>
      <c r="B7" s="4" t="s">
        <v>19</v>
      </c>
      <c r="C7" s="4" t="s">
        <v>19</v>
      </c>
      <c r="D7" s="4" t="s">
        <v>104</v>
      </c>
      <c r="E7" s="4" t="s">
        <v>104</v>
      </c>
      <c r="F7" s="4" t="s">
        <v>88</v>
      </c>
      <c r="G7" s="4" t="s">
        <v>88</v>
      </c>
      <c r="H7" s="4" t="s">
        <v>137</v>
      </c>
      <c r="I7" s="4" t="s">
        <v>137</v>
      </c>
    </row>
    <row r="8" spans="1:9" ht="12.75">
      <c r="A8" s="1" t="s">
        <v>122</v>
      </c>
      <c r="B8" s="4" t="s">
        <v>50</v>
      </c>
      <c r="C8" s="4" t="s">
        <v>50</v>
      </c>
      <c r="D8" s="4" t="s">
        <v>52</v>
      </c>
      <c r="E8" s="4" t="s">
        <v>52</v>
      </c>
      <c r="F8" s="4" t="s">
        <v>52</v>
      </c>
      <c r="G8" s="4" t="s">
        <v>52</v>
      </c>
      <c r="H8" s="4" t="s">
        <v>7</v>
      </c>
      <c r="I8" s="10" t="s">
        <v>0</v>
      </c>
    </row>
    <row r="9" spans="2:9" ht="12.75">
      <c r="B9" s="4" t="s">
        <v>112</v>
      </c>
      <c r="C9" s="4" t="s">
        <v>110</v>
      </c>
      <c r="D9" s="4" t="s">
        <v>112</v>
      </c>
      <c r="E9" s="4" t="s">
        <v>109</v>
      </c>
      <c r="F9" s="4" t="s">
        <v>112</v>
      </c>
      <c r="G9" s="4" t="s">
        <v>110</v>
      </c>
      <c r="H9" s="4" t="s">
        <v>111</v>
      </c>
      <c r="I9" s="10" t="s">
        <v>110</v>
      </c>
    </row>
    <row r="11" spans="1:12" ht="12.75">
      <c r="A11" s="1" t="s">
        <v>38</v>
      </c>
      <c r="B11" s="3">
        <v>74.62982677596627</v>
      </c>
      <c r="C11" s="3">
        <v>153.13935681470136</v>
      </c>
      <c r="D11" s="3">
        <v>48</v>
      </c>
      <c r="E11" s="3">
        <v>105.82188584874123</v>
      </c>
      <c r="F11" s="3">
        <v>35.556</v>
      </c>
      <c r="G11" s="3">
        <f>F11*(1000/453.59237)</f>
        <v>78.38756194245506</v>
      </c>
      <c r="H11" s="11">
        <f aca="true" t="shared" si="0" ref="H11:H18">I11*0.45359237</f>
        <v>14.900509354500002</v>
      </c>
      <c r="I11" s="9">
        <v>32.85</v>
      </c>
      <c r="K11" s="11"/>
      <c r="L11" s="3"/>
    </row>
    <row r="12" spans="1:12" ht="12.75">
      <c r="A12" s="1" t="s">
        <v>37</v>
      </c>
      <c r="B12" s="3">
        <v>22.544426838573145</v>
      </c>
      <c r="C12" s="3">
        <v>46.26084737110771</v>
      </c>
      <c r="D12" s="3">
        <v>20</v>
      </c>
      <c r="E12" s="3">
        <v>44.09245243697551</v>
      </c>
      <c r="F12" s="3">
        <v>24.151</v>
      </c>
      <c r="G12" s="3">
        <f>F12*(1000/453.59237)</f>
        <v>53.24384094026978</v>
      </c>
      <c r="H12" s="11">
        <f t="shared" si="0"/>
        <v>9.021952239300001</v>
      </c>
      <c r="I12" s="9">
        <v>19.89</v>
      </c>
      <c r="K12" s="11"/>
      <c r="L12" s="3"/>
    </row>
    <row r="13" spans="1:12" ht="12.75">
      <c r="A13" s="1" t="s">
        <v>63</v>
      </c>
      <c r="B13" s="3">
        <v>15.547880578326307</v>
      </c>
      <c r="C13" s="3">
        <v>31.904032669729453</v>
      </c>
      <c r="D13" s="3">
        <v>28</v>
      </c>
      <c r="E13" s="3">
        <v>61.72943341176572</v>
      </c>
      <c r="F13" s="3">
        <v>12</v>
      </c>
      <c r="G13" s="3">
        <f>F13*(1000/453.59237)</f>
        <v>26.455471462185308</v>
      </c>
      <c r="H13" s="11">
        <f t="shared" si="0"/>
        <v>7.6702469767000006</v>
      </c>
      <c r="I13" s="9">
        <v>16.91</v>
      </c>
      <c r="K13" s="11"/>
      <c r="L13" s="3"/>
    </row>
    <row r="14" spans="1:12" ht="12.75">
      <c r="A14" s="1" t="s">
        <v>89</v>
      </c>
      <c r="D14" s="3">
        <v>36</v>
      </c>
      <c r="E14" s="3">
        <v>79.36641438655593</v>
      </c>
      <c r="H14" s="11">
        <f t="shared" si="0"/>
        <v>36.287389600000004</v>
      </c>
      <c r="I14" s="9">
        <v>80</v>
      </c>
      <c r="K14" s="11"/>
      <c r="L14" s="3"/>
    </row>
    <row r="15" spans="1:12" ht="12.75">
      <c r="A15" s="1" t="s">
        <v>106</v>
      </c>
      <c r="B15" s="3">
        <v>20.212244751824198</v>
      </c>
      <c r="C15" s="3">
        <v>41.47524247064829</v>
      </c>
      <c r="D15" s="3">
        <v>12.75</v>
      </c>
      <c r="E15" s="3">
        <v>28.10893842857189</v>
      </c>
      <c r="F15" s="3">
        <v>18.028</v>
      </c>
      <c r="G15" s="3">
        <f>F15*(1000/453.59237)</f>
        <v>39.74493662668972</v>
      </c>
      <c r="H15" s="11">
        <f t="shared" si="0"/>
        <v>10.9905431251</v>
      </c>
      <c r="I15" s="9">
        <v>24.23</v>
      </c>
      <c r="K15" s="11"/>
      <c r="L15" s="3"/>
    </row>
    <row r="16" spans="1:12" ht="12.75">
      <c r="A16" s="1" t="s">
        <v>120</v>
      </c>
      <c r="B16" s="3">
        <v>373.14913387983137</v>
      </c>
      <c r="C16" s="3">
        <v>765.6967840735068</v>
      </c>
      <c r="D16" s="3">
        <v>176</v>
      </c>
      <c r="E16" s="3">
        <v>388.0135814453845</v>
      </c>
      <c r="F16" s="3">
        <v>182.857</v>
      </c>
      <c r="G16" s="3">
        <f>F16*(1000/453.59237)</f>
        <v>403.1306787634016</v>
      </c>
      <c r="H16" s="11">
        <f t="shared" si="0"/>
        <v>1700.9713875</v>
      </c>
      <c r="I16" s="9">
        <f>3.75*1000</f>
        <v>3750</v>
      </c>
      <c r="K16" s="11"/>
      <c r="L16" s="3"/>
    </row>
    <row r="17" spans="1:11" ht="12.75">
      <c r="A17" s="1" t="s">
        <v>146</v>
      </c>
      <c r="B17" s="3">
        <v>12.438304462661044</v>
      </c>
      <c r="C17" s="3">
        <v>25.52322613578356</v>
      </c>
      <c r="D17" s="3">
        <v>24</v>
      </c>
      <c r="E17" s="3">
        <v>52.910942924370616</v>
      </c>
      <c r="F17" s="3">
        <v>16</v>
      </c>
      <c r="G17" s="3">
        <f>F17*(1000/453.59237)</f>
        <v>35.27396194958041</v>
      </c>
      <c r="H17" s="11">
        <f t="shared" si="0"/>
        <v>1.2927382545000001</v>
      </c>
      <c r="I17" s="9">
        <v>2.85</v>
      </c>
      <c r="K17" s="11"/>
    </row>
    <row r="18" spans="1:11" ht="12.75">
      <c r="A18" s="1" t="s">
        <v>28</v>
      </c>
      <c r="H18" s="11">
        <f t="shared" si="0"/>
        <v>1.1113013065000001</v>
      </c>
      <c r="I18" s="9">
        <v>2.45</v>
      </c>
      <c r="K18" s="11"/>
    </row>
    <row r="21" spans="2:9" ht="12.75">
      <c r="B21" s="4" t="s">
        <v>19</v>
      </c>
      <c r="C21" s="4" t="s">
        <v>19</v>
      </c>
      <c r="D21" s="4" t="s">
        <v>104</v>
      </c>
      <c r="E21" s="4" t="s">
        <v>104</v>
      </c>
      <c r="F21" s="4" t="s">
        <v>88</v>
      </c>
      <c r="G21" s="4" t="s">
        <v>88</v>
      </c>
      <c r="H21" s="4" t="s">
        <v>132</v>
      </c>
      <c r="I21" s="10" t="s">
        <v>132</v>
      </c>
    </row>
    <row r="22" spans="2:9" ht="12.75">
      <c r="B22" s="4" t="s">
        <v>55</v>
      </c>
      <c r="C22" s="4" t="s">
        <v>55</v>
      </c>
      <c r="D22" s="4" t="s">
        <v>55</v>
      </c>
      <c r="E22" s="4" t="s">
        <v>55</v>
      </c>
      <c r="F22" s="4" t="s">
        <v>55</v>
      </c>
      <c r="G22" s="4" t="s">
        <v>55</v>
      </c>
      <c r="H22" s="4" t="s">
        <v>55</v>
      </c>
      <c r="I22" s="10" t="s">
        <v>55</v>
      </c>
    </row>
    <row r="23" spans="2:9" ht="12.75">
      <c r="B23" s="4" t="s">
        <v>71</v>
      </c>
      <c r="C23" s="4" t="s">
        <v>71</v>
      </c>
      <c r="D23" s="4" t="s">
        <v>73</v>
      </c>
      <c r="E23" s="4" t="s">
        <v>73</v>
      </c>
      <c r="F23" s="4" t="s">
        <v>73</v>
      </c>
      <c r="G23" s="4" t="s">
        <v>73</v>
      </c>
      <c r="H23" s="4" t="s">
        <v>68</v>
      </c>
      <c r="I23" s="10" t="s">
        <v>69</v>
      </c>
    </row>
    <row r="25" spans="2:9" ht="12.75">
      <c r="B25" s="3">
        <v>10</v>
      </c>
      <c r="C25" s="3">
        <v>10</v>
      </c>
      <c r="D25" s="3">
        <v>6</v>
      </c>
      <c r="E25" s="3">
        <v>6</v>
      </c>
      <c r="F25" s="3">
        <v>8</v>
      </c>
      <c r="G25" s="3">
        <v>8</v>
      </c>
      <c r="H25" s="3">
        <f>33.07*8</f>
        <v>264.56</v>
      </c>
      <c r="I25" s="3">
        <f>33.07*8</f>
        <v>264.56</v>
      </c>
    </row>
    <row r="27" spans="1:9" ht="12.75">
      <c r="A27" s="1" t="s">
        <v>92</v>
      </c>
      <c r="B27" s="4" t="s">
        <v>86</v>
      </c>
      <c r="C27" s="4" t="s">
        <v>64</v>
      </c>
      <c r="D27" s="4" t="s">
        <v>86</v>
      </c>
      <c r="E27" s="4" t="s">
        <v>64</v>
      </c>
      <c r="F27" s="4" t="s">
        <v>86</v>
      </c>
      <c r="G27" s="4" t="s">
        <v>64</v>
      </c>
      <c r="H27" s="4" t="s">
        <v>86</v>
      </c>
      <c r="I27" s="10" t="s">
        <v>64</v>
      </c>
    </row>
    <row r="28" spans="1:9" ht="12.75">
      <c r="A28" s="1" t="s">
        <v>122</v>
      </c>
      <c r="B28" s="4" t="s">
        <v>147</v>
      </c>
      <c r="C28" s="4" t="s">
        <v>27</v>
      </c>
      <c r="D28" s="4" t="s">
        <v>147</v>
      </c>
      <c r="E28" s="4" t="s">
        <v>27</v>
      </c>
      <c r="F28" s="4" t="s">
        <v>147</v>
      </c>
      <c r="G28" s="4" t="s">
        <v>27</v>
      </c>
      <c r="H28" s="4" t="s">
        <v>147</v>
      </c>
      <c r="I28" s="10" t="s">
        <v>27</v>
      </c>
    </row>
    <row r="29" spans="2:9" ht="12.75">
      <c r="B29" s="4" t="s">
        <v>142</v>
      </c>
      <c r="C29" s="4" t="s">
        <v>54</v>
      </c>
      <c r="D29" s="4" t="s">
        <v>142</v>
      </c>
      <c r="E29" s="4" t="s">
        <v>54</v>
      </c>
      <c r="F29" s="4" t="s">
        <v>142</v>
      </c>
      <c r="G29" s="4" t="s">
        <v>54</v>
      </c>
      <c r="H29" s="4" t="s">
        <v>142</v>
      </c>
      <c r="I29" s="10" t="s">
        <v>54</v>
      </c>
    </row>
    <row r="31" spans="1:9" ht="12.75">
      <c r="A31" s="1" t="s">
        <v>38</v>
      </c>
      <c r="B31" s="3">
        <v>0.13399468325203714</v>
      </c>
      <c r="C31" s="3">
        <f>10/C11*1000</f>
        <v>65.30000000000001</v>
      </c>
      <c r="D31" s="3">
        <v>0.125</v>
      </c>
      <c r="E31" s="3">
        <f aca="true" t="shared" si="1" ref="E31:E37">6/E11*1000</f>
        <v>56.69904625</v>
      </c>
      <c r="F31" s="3">
        <f>8/F11</f>
        <v>0.22499718753515582</v>
      </c>
      <c r="G31" s="3">
        <f>8/G11*1000</f>
        <v>102.0570075374058</v>
      </c>
      <c r="H31" s="3">
        <f aca="true" t="shared" si="2" ref="H31:H38">(8*33.07)/H11</f>
        <v>17.755097742353488</v>
      </c>
      <c r="I31" s="9">
        <f aca="true" t="shared" si="3" ref="I31:I38">(8*33.07)/I11*1000</f>
        <v>8053.576864535768</v>
      </c>
    </row>
    <row r="32" spans="1:9" ht="12.75">
      <c r="A32" s="1" t="s">
        <v>37</v>
      </c>
      <c r="B32" s="3">
        <v>0.44356860662743325</v>
      </c>
      <c r="C32" s="3">
        <f>10/C12*1000</f>
        <v>216.16551724137932</v>
      </c>
      <c r="D32" s="3">
        <v>0.3</v>
      </c>
      <c r="E32" s="3">
        <f t="shared" si="1"/>
        <v>136.07771100000002</v>
      </c>
      <c r="F32" s="3">
        <f>8/F12</f>
        <v>0.3312492236346321</v>
      </c>
      <c r="G32" s="3">
        <f>8/G12*1000</f>
        <v>150.2521204090928</v>
      </c>
      <c r="H32" s="3">
        <f t="shared" si="2"/>
        <v>29.32403020795938</v>
      </c>
      <c r="I32" s="9">
        <f t="shared" si="3"/>
        <v>13301.156359979888</v>
      </c>
    </row>
    <row r="33" spans="1:9" ht="12.75">
      <c r="A33" s="1" t="s">
        <v>63</v>
      </c>
      <c r="B33" s="3">
        <v>0.6431744796097782</v>
      </c>
      <c r="C33" s="3">
        <f>10/C13*1000</f>
        <v>313.44</v>
      </c>
      <c r="D33" s="3">
        <v>0.21428571428571427</v>
      </c>
      <c r="E33" s="3">
        <f t="shared" si="1"/>
        <v>97.19836500000001</v>
      </c>
      <c r="F33" s="3">
        <f>8/F13</f>
        <v>0.6666666666666666</v>
      </c>
      <c r="G33" s="3">
        <f>8/G13*1000</f>
        <v>302.39491333333336</v>
      </c>
      <c r="H33" s="3">
        <f t="shared" si="2"/>
        <v>34.4917185592142</v>
      </c>
      <c r="I33" s="9">
        <f t="shared" si="3"/>
        <v>15645.180366646955</v>
      </c>
    </row>
    <row r="34" spans="1:9" ht="12.75">
      <c r="A34" s="1" t="s">
        <v>89</v>
      </c>
      <c r="D34" s="3">
        <v>0.16666666666666666</v>
      </c>
      <c r="E34" s="3">
        <f t="shared" si="1"/>
        <v>75.59872833333334</v>
      </c>
      <c r="H34" s="3">
        <f t="shared" si="2"/>
        <v>7.290687010453901</v>
      </c>
      <c r="I34" s="9">
        <f t="shared" si="3"/>
        <v>3307</v>
      </c>
    </row>
    <row r="35" spans="1:9" ht="12.75">
      <c r="A35" s="1" t="s">
        <v>106</v>
      </c>
      <c r="B35" s="3">
        <v>0.4947495996998294</v>
      </c>
      <c r="C35" s="3">
        <f>10/C15*1000</f>
        <v>241.1076923076923</v>
      </c>
      <c r="D35" s="3">
        <v>0.47058823529411764</v>
      </c>
      <c r="E35" s="3">
        <f t="shared" si="1"/>
        <v>213.4552329411765</v>
      </c>
      <c r="F35" s="3">
        <f>8/F15</f>
        <v>0.4437541601952519</v>
      </c>
      <c r="G35" s="3">
        <f>8/G15*1000</f>
        <v>201.28350122032398</v>
      </c>
      <c r="H35" s="3">
        <f t="shared" si="2"/>
        <v>24.0716038314615</v>
      </c>
      <c r="I35" s="9">
        <f t="shared" si="3"/>
        <v>10918.695831613702</v>
      </c>
    </row>
    <row r="36" spans="1:9" ht="12.75">
      <c r="A36" s="1" t="s">
        <v>120</v>
      </c>
      <c r="B36" s="3">
        <v>0.026798936650407425</v>
      </c>
      <c r="C36" s="3">
        <f>10/C16*1000</f>
        <v>13.06</v>
      </c>
      <c r="D36" s="3">
        <v>0.03409090909090909</v>
      </c>
      <c r="E36" s="3">
        <f t="shared" si="1"/>
        <v>15.463376250000003</v>
      </c>
      <c r="F36" s="3">
        <f>8/F16</f>
        <v>0.0437500341797142</v>
      </c>
      <c r="G36" s="3">
        <f>8/G16*1000</f>
        <v>19.84468169115757</v>
      </c>
      <c r="H36" s="3">
        <f t="shared" si="2"/>
        <v>0.15553465622301657</v>
      </c>
      <c r="I36" s="9">
        <f t="shared" si="3"/>
        <v>70.54933333333334</v>
      </c>
    </row>
    <row r="37" spans="1:9" ht="12.75">
      <c r="A37" s="1" t="s">
        <v>146</v>
      </c>
      <c r="B37" s="3">
        <v>0.8039680995122228</v>
      </c>
      <c r="C37" s="3">
        <f>10/C17*1000</f>
        <v>391.8</v>
      </c>
      <c r="D37" s="3">
        <v>0.25</v>
      </c>
      <c r="E37" s="3">
        <f t="shared" si="1"/>
        <v>113.3980925</v>
      </c>
      <c r="F37" s="3">
        <f>8/F17</f>
        <v>0.5</v>
      </c>
      <c r="G37" s="3">
        <f>8/G17*1000</f>
        <v>226.796185</v>
      </c>
      <c r="H37" s="3">
        <f t="shared" si="2"/>
        <v>204.65086345133756</v>
      </c>
      <c r="I37" s="9">
        <f t="shared" si="3"/>
        <v>92828.0701754386</v>
      </c>
    </row>
    <row r="38" spans="1:9" ht="12.75">
      <c r="A38" s="1" t="s">
        <v>28</v>
      </c>
      <c r="H38" s="3">
        <f t="shared" si="2"/>
        <v>238.0632493209437</v>
      </c>
      <c r="I38" s="9">
        <f t="shared" si="3"/>
        <v>107983.67346938775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spans="2:10" ht="12.75">
      <c r="B44" s="1" t="s">
        <v>13</v>
      </c>
      <c r="C44" s="1" t="s">
        <v>13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98</v>
      </c>
      <c r="I44" s="1" t="s">
        <v>98</v>
      </c>
      <c r="J44" s="1"/>
    </row>
    <row r="46" spans="1:10" ht="12.75">
      <c r="A46" s="1" t="s">
        <v>92</v>
      </c>
      <c r="B46" s="4" t="s">
        <v>94</v>
      </c>
      <c r="C46" s="4" t="s">
        <v>94</v>
      </c>
      <c r="D46" s="4" t="s">
        <v>94</v>
      </c>
      <c r="E46" s="4" t="s">
        <v>94</v>
      </c>
      <c r="F46" s="4" t="s">
        <v>94</v>
      </c>
      <c r="G46" s="4" t="s">
        <v>94</v>
      </c>
      <c r="H46" s="7" t="s">
        <v>95</v>
      </c>
      <c r="I46" s="7" t="s">
        <v>95</v>
      </c>
      <c r="J46" s="7"/>
    </row>
    <row r="47" spans="1:10" ht="12.75">
      <c r="A47" s="1" t="s">
        <v>122</v>
      </c>
      <c r="B47" s="4" t="s">
        <v>143</v>
      </c>
      <c r="C47" s="4" t="s">
        <v>143</v>
      </c>
      <c r="D47" s="4" t="s">
        <v>143</v>
      </c>
      <c r="E47" s="4" t="s">
        <v>143</v>
      </c>
      <c r="F47" s="4" t="s">
        <v>143</v>
      </c>
      <c r="G47" s="4" t="s">
        <v>143</v>
      </c>
      <c r="H47" s="7" t="s">
        <v>23</v>
      </c>
      <c r="I47" s="7" t="s">
        <v>23</v>
      </c>
      <c r="J47" s="7"/>
    </row>
    <row r="48" spans="2:10" ht="12.75">
      <c r="B48" s="4" t="s">
        <v>29</v>
      </c>
      <c r="C48" s="3" t="s">
        <v>30</v>
      </c>
      <c r="D48" s="4" t="s">
        <v>29</v>
      </c>
      <c r="E48" s="4" t="s">
        <v>30</v>
      </c>
      <c r="F48" s="4" t="s">
        <v>29</v>
      </c>
      <c r="G48" s="4" t="s">
        <v>30</v>
      </c>
      <c r="H48" s="7" t="s">
        <v>130</v>
      </c>
      <c r="I48" s="7" t="s">
        <v>131</v>
      </c>
      <c r="J48" s="7"/>
    </row>
    <row r="50" spans="1:9" ht="12.75">
      <c r="A50" s="1" t="s">
        <v>38</v>
      </c>
      <c r="B50" s="3">
        <f>B11/10</f>
        <v>7.462982677596626</v>
      </c>
      <c r="C50" s="3">
        <f>C11/10/10</f>
        <v>1.5313935681470137</v>
      </c>
      <c r="D50" s="3">
        <f aca="true" t="shared" si="4" ref="D50:D56">D11/6</f>
        <v>8</v>
      </c>
      <c r="E50" s="3">
        <f aca="true" t="shared" si="5" ref="E50:E56">E11/6/10</f>
        <v>1.7636980974790206</v>
      </c>
      <c r="F50" s="3">
        <f>F11/8</f>
        <v>4.4445</v>
      </c>
      <c r="G50" s="3">
        <f>G11/8/10</f>
        <v>0.9798445242806884</v>
      </c>
      <c r="H50" s="3">
        <f aca="true" t="shared" si="6" ref="H50:H57">(H11/33.07)*60</f>
        <v>27.034489303598434</v>
      </c>
      <c r="I50" s="9">
        <f aca="true" t="shared" si="7" ref="I50:I57">(I11/33.07)*60/10</f>
        <v>5.9600846688841855</v>
      </c>
    </row>
    <row r="51" spans="1:9" ht="12.75">
      <c r="A51" s="1" t="s">
        <v>37</v>
      </c>
      <c r="B51" s="3">
        <f>B12/10</f>
        <v>2.2544426838573144</v>
      </c>
      <c r="C51" s="3">
        <f>C12/10/10</f>
        <v>0.4626084737110771</v>
      </c>
      <c r="D51" s="3">
        <f t="shared" si="4"/>
        <v>3.3333333333333335</v>
      </c>
      <c r="E51" s="3">
        <f t="shared" si="5"/>
        <v>0.7348742072829253</v>
      </c>
      <c r="F51" s="3">
        <f>F12/8</f>
        <v>3.018875</v>
      </c>
      <c r="G51" s="3">
        <f>G12/8/10</f>
        <v>0.6655480117533722</v>
      </c>
      <c r="H51" s="3">
        <f t="shared" si="6"/>
        <v>16.368827770123982</v>
      </c>
      <c r="I51" s="9">
        <f t="shared" si="7"/>
        <v>3.608708799516178</v>
      </c>
    </row>
    <row r="52" spans="1:9" ht="12.75">
      <c r="A52" s="1" t="s">
        <v>63</v>
      </c>
      <c r="B52" s="3">
        <f>B13/10</f>
        <v>1.5547880578326307</v>
      </c>
      <c r="C52" s="3">
        <f>C13/10/10</f>
        <v>0.31904032669729454</v>
      </c>
      <c r="D52" s="3">
        <f t="shared" si="4"/>
        <v>4.666666666666667</v>
      </c>
      <c r="E52" s="3">
        <f t="shared" si="5"/>
        <v>1.0288238901960953</v>
      </c>
      <c r="F52" s="3">
        <f>F13/8</f>
        <v>1.5</v>
      </c>
      <c r="G52" s="3">
        <f>G13/8/10</f>
        <v>0.33069339327731634</v>
      </c>
      <c r="H52" s="3">
        <f t="shared" si="6"/>
        <v>13.91638399159359</v>
      </c>
      <c r="I52" s="9">
        <f t="shared" si="7"/>
        <v>3.0680374962201395</v>
      </c>
    </row>
    <row r="53" spans="1:9" ht="12.75">
      <c r="A53" s="1" t="s">
        <v>89</v>
      </c>
      <c r="D53" s="3">
        <f t="shared" si="4"/>
        <v>6</v>
      </c>
      <c r="E53" s="3">
        <f t="shared" si="5"/>
        <v>1.3227735731092656</v>
      </c>
      <c r="H53" s="3">
        <f t="shared" si="6"/>
        <v>65.83741687329908</v>
      </c>
      <c r="I53" s="9">
        <f t="shared" si="7"/>
        <v>14.514665860296342</v>
      </c>
    </row>
    <row r="54" spans="1:9" ht="12.75">
      <c r="A54" s="1" t="s">
        <v>106</v>
      </c>
      <c r="B54" s="3">
        <f>B15/10</f>
        <v>2.0212244751824198</v>
      </c>
      <c r="C54" s="3">
        <f>C15/10/10</f>
        <v>0.4147524247064829</v>
      </c>
      <c r="D54" s="3">
        <f t="shared" si="4"/>
        <v>2.125</v>
      </c>
      <c r="E54" s="3">
        <f t="shared" si="5"/>
        <v>0.4684823071428649</v>
      </c>
      <c r="F54" s="3">
        <f>F15/8</f>
        <v>2.2535</v>
      </c>
      <c r="G54" s="3">
        <f>G15/8/10</f>
        <v>0.4968117078336215</v>
      </c>
      <c r="H54" s="3">
        <f t="shared" si="6"/>
        <v>19.940507635500452</v>
      </c>
      <c r="I54" s="9">
        <f t="shared" si="7"/>
        <v>4.396129422437253</v>
      </c>
    </row>
    <row r="55" spans="1:9" ht="12.75">
      <c r="A55" s="1" t="s">
        <v>120</v>
      </c>
      <c r="B55" s="3">
        <f>B16/10</f>
        <v>37.31491338798314</v>
      </c>
      <c r="C55" s="3">
        <f>C16/10/10</f>
        <v>7.656967840735068</v>
      </c>
      <c r="D55" s="3">
        <f t="shared" si="4"/>
        <v>29.333333333333332</v>
      </c>
      <c r="E55" s="3">
        <f t="shared" si="5"/>
        <v>6.466893024089741</v>
      </c>
      <c r="F55" s="3">
        <f>F16/8</f>
        <v>22.857125</v>
      </c>
      <c r="G55" s="3">
        <f>G16/8/10</f>
        <v>5.0391334845425195</v>
      </c>
      <c r="H55" s="3">
        <f t="shared" si="6"/>
        <v>3086.1289159358935</v>
      </c>
      <c r="I55" s="9">
        <f t="shared" si="7"/>
        <v>680.374962201391</v>
      </c>
    </row>
    <row r="56" spans="1:9" ht="12.75">
      <c r="A56" s="1" t="s">
        <v>124</v>
      </c>
      <c r="B56" s="3">
        <f>B17/10</f>
        <v>1.2438304462661045</v>
      </c>
      <c r="C56" s="3">
        <f>C17/10/10</f>
        <v>0.2552322613578356</v>
      </c>
      <c r="D56" s="3">
        <f t="shared" si="4"/>
        <v>4</v>
      </c>
      <c r="E56" s="3">
        <f t="shared" si="5"/>
        <v>0.8818490487395103</v>
      </c>
      <c r="F56" s="3">
        <f>F17/8</f>
        <v>2</v>
      </c>
      <c r="G56" s="3">
        <f>G17/8/10</f>
        <v>0.44092452436975516</v>
      </c>
      <c r="H56" s="3">
        <f t="shared" si="6"/>
        <v>2.3454579761112795</v>
      </c>
      <c r="I56" s="9">
        <f t="shared" si="7"/>
        <v>0.5170849712730572</v>
      </c>
    </row>
    <row r="57" spans="1:9" ht="12.75">
      <c r="A57" s="1" t="s">
        <v>28</v>
      </c>
      <c r="H57" s="3">
        <f t="shared" si="6"/>
        <v>2.016270891744784</v>
      </c>
      <c r="I57" s="9">
        <f t="shared" si="7"/>
        <v>0.44451164197157544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63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1" sqref="L11"/>
    </sheetView>
  </sheetViews>
  <sheetFormatPr defaultColWidth="9.140625" defaultRowHeight="12.75"/>
  <cols>
    <col min="1" max="1" width="13.421875" style="0" customWidth="1"/>
    <col min="2" max="3" width="12.28125" style="0" customWidth="1"/>
    <col min="4" max="4" width="12.140625" style="0" customWidth="1"/>
    <col min="5" max="5" width="12.28125" style="0" customWidth="1"/>
    <col min="6" max="6" width="12.140625" style="0" customWidth="1"/>
    <col min="7" max="7" width="12.28125" style="0" customWidth="1"/>
    <col min="8" max="8" width="16.57421875" style="6" customWidth="1"/>
    <col min="9" max="9" width="16.57421875" style="0" customWidth="1"/>
    <col min="11" max="12" width="16.57421875" style="0" customWidth="1"/>
    <col min="14" max="14" width="12.28125" style="6" customWidth="1"/>
  </cols>
  <sheetData>
    <row r="1" spans="2:9" ht="12.75">
      <c r="B1" s="4" t="s">
        <v>117</v>
      </c>
      <c r="C1" s="4"/>
      <c r="D1" s="4"/>
      <c r="E1" s="4"/>
      <c r="F1" s="4"/>
      <c r="G1" s="3"/>
      <c r="I1" s="10"/>
    </row>
    <row r="2" spans="2:9" ht="12.75">
      <c r="B2" s="4" t="s">
        <v>78</v>
      </c>
      <c r="C2" s="4"/>
      <c r="D2" s="4"/>
      <c r="E2" s="4"/>
      <c r="F2" s="4"/>
      <c r="G2" s="3"/>
      <c r="I2" s="10"/>
    </row>
    <row r="3" spans="2:9" ht="12.75">
      <c r="B3" s="4" t="s">
        <v>76</v>
      </c>
      <c r="C3" s="4"/>
      <c r="D3" s="4"/>
      <c r="E3" s="4"/>
      <c r="F3" s="4"/>
      <c r="G3" s="3"/>
      <c r="I3" s="10"/>
    </row>
    <row r="4" spans="2:9" ht="12.75">
      <c r="B4" s="4" t="s">
        <v>17</v>
      </c>
      <c r="C4" s="4"/>
      <c r="D4" s="4"/>
      <c r="E4" s="4"/>
      <c r="F4" s="4"/>
      <c r="G4" s="3"/>
      <c r="I4" s="10"/>
    </row>
    <row r="5" spans="2:9" ht="12.75">
      <c r="B5" s="3"/>
      <c r="C5" s="3"/>
      <c r="D5" s="3"/>
      <c r="E5" s="3"/>
      <c r="F5" s="3"/>
      <c r="G5" s="3"/>
      <c r="I5" s="9"/>
    </row>
    <row r="6" spans="2:9" ht="12.75">
      <c r="B6" s="4" t="s">
        <v>10</v>
      </c>
      <c r="C6" s="3"/>
      <c r="D6" s="3"/>
      <c r="E6" s="3"/>
      <c r="F6" s="3"/>
      <c r="G6" s="3"/>
      <c r="I6" s="9"/>
    </row>
    <row r="7" spans="2:9" ht="12.75">
      <c r="B7" s="3"/>
      <c r="C7" s="3"/>
      <c r="D7" s="3"/>
      <c r="E7" s="3"/>
      <c r="F7" s="3"/>
      <c r="G7" s="3"/>
      <c r="H7" s="8"/>
      <c r="I7" s="10"/>
    </row>
    <row r="8" spans="1:9" ht="12.75">
      <c r="A8" s="1" t="s">
        <v>92</v>
      </c>
      <c r="B8" s="4" t="s">
        <v>19</v>
      </c>
      <c r="C8" s="4" t="s">
        <v>19</v>
      </c>
      <c r="D8" s="4" t="s">
        <v>104</v>
      </c>
      <c r="E8" s="4" t="s">
        <v>104</v>
      </c>
      <c r="F8" s="4" t="s">
        <v>88</v>
      </c>
      <c r="G8" s="4" t="s">
        <v>88</v>
      </c>
      <c r="H8" s="4" t="s">
        <v>138</v>
      </c>
      <c r="I8" s="8" t="s">
        <v>138</v>
      </c>
    </row>
    <row r="9" spans="1:9" ht="12.75">
      <c r="A9" s="1" t="s">
        <v>122</v>
      </c>
      <c r="B9" s="4" t="s">
        <v>50</v>
      </c>
      <c r="C9" s="4" t="s">
        <v>50</v>
      </c>
      <c r="D9" s="4" t="s">
        <v>52</v>
      </c>
      <c r="E9" s="4" t="s">
        <v>52</v>
      </c>
      <c r="F9" s="4" t="s">
        <v>52</v>
      </c>
      <c r="G9" s="4" t="s">
        <v>52</v>
      </c>
      <c r="H9" s="10" t="s">
        <v>0</v>
      </c>
      <c r="I9" s="8" t="s">
        <v>7</v>
      </c>
    </row>
    <row r="10" spans="2:9" ht="12.75">
      <c r="B10" s="4" t="s">
        <v>112</v>
      </c>
      <c r="C10" s="4" t="s">
        <v>110</v>
      </c>
      <c r="D10" s="4" t="s">
        <v>112</v>
      </c>
      <c r="E10" s="4" t="s">
        <v>109</v>
      </c>
      <c r="F10" s="4" t="s">
        <v>112</v>
      </c>
      <c r="G10" s="4" t="s">
        <v>110</v>
      </c>
      <c r="H10" s="10" t="s">
        <v>112</v>
      </c>
      <c r="I10" s="8" t="s">
        <v>110</v>
      </c>
    </row>
    <row r="11" spans="2:9" ht="12.75">
      <c r="B11" s="3"/>
      <c r="C11" s="3"/>
      <c r="D11" s="3"/>
      <c r="E11" s="3"/>
      <c r="F11" s="3"/>
      <c r="G11" s="3"/>
      <c r="H11" s="9"/>
      <c r="I11" s="6"/>
    </row>
    <row r="12" spans="1:9" ht="12.75">
      <c r="A12" s="1" t="s">
        <v>38</v>
      </c>
      <c r="B12" s="3">
        <v>74.62982677596627</v>
      </c>
      <c r="C12" s="3">
        <v>153.13935681470136</v>
      </c>
      <c r="D12" s="3">
        <v>48</v>
      </c>
      <c r="E12" s="3">
        <v>105.82188584874123</v>
      </c>
      <c r="F12" s="3">
        <v>35.556</v>
      </c>
      <c r="G12" s="3">
        <f>F12*(1000/453.59237)</f>
        <v>78.38756194245506</v>
      </c>
      <c r="H12" s="9">
        <f aca="true" t="shared" si="0" ref="H12:H18">I12*0.45359237</f>
        <v>9.480080533</v>
      </c>
      <c r="I12" s="6">
        <v>20.9</v>
      </c>
    </row>
    <row r="13" spans="1:9" ht="12.75">
      <c r="A13" s="1" t="s">
        <v>37</v>
      </c>
      <c r="B13" s="3">
        <v>22.544426838573145</v>
      </c>
      <c r="C13" s="3">
        <v>46.26084737110771</v>
      </c>
      <c r="D13" s="3">
        <v>20</v>
      </c>
      <c r="E13" s="3">
        <v>44.09245243697551</v>
      </c>
      <c r="F13" s="3">
        <v>24.151</v>
      </c>
      <c r="G13" s="3">
        <f>F13*(1000/453.59237)</f>
        <v>53.24384094026978</v>
      </c>
      <c r="H13" s="9">
        <f t="shared" si="0"/>
        <v>3.492661249</v>
      </c>
      <c r="I13" s="6">
        <v>7.7</v>
      </c>
    </row>
    <row r="14" spans="1:9" ht="12.75">
      <c r="A14" s="1" t="s">
        <v>63</v>
      </c>
      <c r="B14" s="3">
        <v>15.547880578326307</v>
      </c>
      <c r="C14" s="3">
        <v>31.904032669729453</v>
      </c>
      <c r="D14" s="3">
        <v>28</v>
      </c>
      <c r="E14" s="3">
        <v>61.72943341176572</v>
      </c>
      <c r="F14" s="3">
        <v>12</v>
      </c>
      <c r="G14" s="3">
        <f>F14*(1000/453.59237)</f>
        <v>26.455471462185308</v>
      </c>
      <c r="H14" s="9">
        <f t="shared" si="0"/>
        <v>9.117206637</v>
      </c>
      <c r="I14" s="6">
        <v>20.1</v>
      </c>
    </row>
    <row r="15" spans="1:9" ht="12.75">
      <c r="A15" s="1" t="s">
        <v>89</v>
      </c>
      <c r="B15" s="3"/>
      <c r="C15" s="3"/>
      <c r="D15" s="3">
        <v>36</v>
      </c>
      <c r="E15" s="3">
        <v>79.36641438655593</v>
      </c>
      <c r="F15" s="3"/>
      <c r="G15" s="3"/>
      <c r="H15" s="9">
        <f t="shared" si="0"/>
        <v>36.287389600000004</v>
      </c>
      <c r="I15" s="6">
        <v>80</v>
      </c>
    </row>
    <row r="16" spans="1:9" ht="12.75">
      <c r="A16" s="1" t="s">
        <v>106</v>
      </c>
      <c r="B16" s="3">
        <v>20.212244751824198</v>
      </c>
      <c r="C16" s="3">
        <v>41.47524247064829</v>
      </c>
      <c r="D16" s="3">
        <v>12.75</v>
      </c>
      <c r="E16" s="3">
        <v>28.10893842857189</v>
      </c>
      <c r="F16" s="3">
        <v>18.028</v>
      </c>
      <c r="G16" s="3">
        <f>F16*(1000/453.59237)</f>
        <v>39.74493662668972</v>
      </c>
      <c r="H16" s="9">
        <f t="shared" si="0"/>
        <v>8.572895793</v>
      </c>
      <c r="I16" s="6">
        <v>18.900000000000002</v>
      </c>
    </row>
    <row r="17" spans="1:9" ht="12.75">
      <c r="A17" s="1" t="s">
        <v>120</v>
      </c>
      <c r="B17" s="3">
        <v>373.14913387983137</v>
      </c>
      <c r="C17" s="3">
        <v>765.6967840735068</v>
      </c>
      <c r="D17" s="3">
        <v>176</v>
      </c>
      <c r="E17" s="3">
        <v>388.0135814453845</v>
      </c>
      <c r="F17" s="3">
        <v>182.857</v>
      </c>
      <c r="G17" s="3">
        <f>F17*(1000/453.59237)</f>
        <v>403.1306787634016</v>
      </c>
      <c r="H17" s="9">
        <f t="shared" si="0"/>
        <v>4077.7954063</v>
      </c>
      <c r="I17" s="6">
        <v>8990</v>
      </c>
    </row>
    <row r="18" spans="1:9" ht="12.75">
      <c r="A18" s="1" t="s">
        <v>146</v>
      </c>
      <c r="B18" s="3">
        <v>12.438304462661044</v>
      </c>
      <c r="C18" s="3">
        <v>25.52322613578356</v>
      </c>
      <c r="D18" s="3">
        <v>24</v>
      </c>
      <c r="E18" s="3">
        <v>52.910942924370616</v>
      </c>
      <c r="F18" s="3">
        <v>16</v>
      </c>
      <c r="G18" s="3">
        <f>F18*(1000/453.59237)</f>
        <v>35.27396194958041</v>
      </c>
      <c r="H18" s="9">
        <f t="shared" si="0"/>
        <v>4.8080791220000005</v>
      </c>
      <c r="I18" s="6">
        <v>10.600000000000001</v>
      </c>
    </row>
    <row r="19" spans="2:7" ht="12.75">
      <c r="B19" s="3"/>
      <c r="C19" s="3"/>
      <c r="D19" s="3"/>
      <c r="E19" s="3"/>
      <c r="F19" s="3"/>
      <c r="G19" s="3"/>
    </row>
    <row r="20" spans="2:9" ht="12.75">
      <c r="B20" s="3"/>
      <c r="C20" s="3"/>
      <c r="D20" s="3"/>
      <c r="E20" s="3"/>
      <c r="F20" s="3"/>
      <c r="G20" s="3"/>
      <c r="I20" s="9"/>
    </row>
    <row r="21" spans="2:9" ht="12.75">
      <c r="B21" s="4" t="s">
        <v>19</v>
      </c>
      <c r="C21" s="4" t="s">
        <v>19</v>
      </c>
      <c r="D21" s="4" t="s">
        <v>104</v>
      </c>
      <c r="E21" s="4" t="s">
        <v>104</v>
      </c>
      <c r="F21" s="4" t="s">
        <v>88</v>
      </c>
      <c r="G21" s="4" t="s">
        <v>88</v>
      </c>
      <c r="H21" s="8" t="s">
        <v>132</v>
      </c>
      <c r="I21" s="10" t="s">
        <v>132</v>
      </c>
    </row>
    <row r="22" spans="2:9" ht="12.75">
      <c r="B22" s="4" t="s">
        <v>55</v>
      </c>
      <c r="C22" s="4" t="s">
        <v>55</v>
      </c>
      <c r="D22" s="4" t="s">
        <v>55</v>
      </c>
      <c r="E22" s="4" t="s">
        <v>55</v>
      </c>
      <c r="F22" s="4" t="s">
        <v>55</v>
      </c>
      <c r="G22" s="4" t="s">
        <v>55</v>
      </c>
      <c r="H22" s="8" t="s">
        <v>55</v>
      </c>
      <c r="I22" s="10" t="s">
        <v>55</v>
      </c>
    </row>
    <row r="23" spans="2:9" ht="12.75">
      <c r="B23" s="4" t="s">
        <v>71</v>
      </c>
      <c r="C23" s="4" t="s">
        <v>71</v>
      </c>
      <c r="D23" s="4" t="s">
        <v>73</v>
      </c>
      <c r="E23" s="4" t="s">
        <v>73</v>
      </c>
      <c r="F23" s="4" t="s">
        <v>73</v>
      </c>
      <c r="G23" s="4" t="s">
        <v>73</v>
      </c>
      <c r="H23" s="8" t="s">
        <v>68</v>
      </c>
      <c r="I23" s="10" t="s">
        <v>69</v>
      </c>
    </row>
    <row r="24" spans="2:9" ht="12.75">
      <c r="B24" s="3"/>
      <c r="C24" s="3"/>
      <c r="D24" s="3"/>
      <c r="E24" s="3"/>
      <c r="F24" s="3"/>
      <c r="G24" s="3"/>
      <c r="H24" s="6" t="s">
        <v>6</v>
      </c>
      <c r="I24" s="3" t="s">
        <v>6</v>
      </c>
    </row>
    <row r="25" spans="2:9" ht="12.75">
      <c r="B25" s="3"/>
      <c r="C25" s="3"/>
      <c r="D25" s="3"/>
      <c r="E25" s="3"/>
      <c r="F25" s="3"/>
      <c r="G25" s="3"/>
      <c r="I25" s="9"/>
    </row>
    <row r="26" spans="2:9" ht="12.75">
      <c r="B26" s="3">
        <v>10</v>
      </c>
      <c r="C26" s="3">
        <v>10</v>
      </c>
      <c r="D26" s="3">
        <v>6</v>
      </c>
      <c r="E26" s="3">
        <v>6</v>
      </c>
      <c r="F26" s="3">
        <v>8</v>
      </c>
      <c r="G26" s="3">
        <v>8</v>
      </c>
      <c r="H26" s="6">
        <f>35.39*8</f>
        <v>283.12</v>
      </c>
      <c r="I26" s="3">
        <f>35.39*8</f>
        <v>283.12</v>
      </c>
    </row>
    <row r="27" spans="2:9" ht="12.75">
      <c r="B27" s="3"/>
      <c r="C27" s="3"/>
      <c r="D27" s="3"/>
      <c r="E27" s="3"/>
      <c r="F27" s="3"/>
      <c r="G27" s="3"/>
      <c r="I27" s="9"/>
    </row>
    <row r="28" spans="1:9" ht="12.75">
      <c r="A28" s="1" t="s">
        <v>92</v>
      </c>
      <c r="B28" s="4" t="s">
        <v>86</v>
      </c>
      <c r="C28" s="4" t="s">
        <v>64</v>
      </c>
      <c r="D28" s="4" t="s">
        <v>86</v>
      </c>
      <c r="E28" s="4" t="s">
        <v>64</v>
      </c>
      <c r="F28" s="4" t="s">
        <v>86</v>
      </c>
      <c r="G28" s="4" t="s">
        <v>64</v>
      </c>
      <c r="H28" s="4" t="s">
        <v>86</v>
      </c>
      <c r="I28" s="8" t="s">
        <v>64</v>
      </c>
    </row>
    <row r="29" spans="1:9" ht="12.75">
      <c r="A29" s="1" t="s">
        <v>122</v>
      </c>
      <c r="B29" s="4" t="s">
        <v>147</v>
      </c>
      <c r="C29" s="4" t="s">
        <v>27</v>
      </c>
      <c r="D29" s="4" t="s">
        <v>147</v>
      </c>
      <c r="E29" s="4" t="s">
        <v>27</v>
      </c>
      <c r="F29" s="4" t="s">
        <v>147</v>
      </c>
      <c r="G29" s="4" t="s">
        <v>27</v>
      </c>
      <c r="H29" s="4" t="s">
        <v>147</v>
      </c>
      <c r="I29" s="8" t="s">
        <v>27</v>
      </c>
    </row>
    <row r="30" spans="2:9" ht="12.75">
      <c r="B30" s="4" t="s">
        <v>142</v>
      </c>
      <c r="C30" s="4" t="s">
        <v>54</v>
      </c>
      <c r="D30" s="4" t="s">
        <v>142</v>
      </c>
      <c r="E30" s="4" t="s">
        <v>54</v>
      </c>
      <c r="F30" s="4" t="s">
        <v>142</v>
      </c>
      <c r="G30" s="4" t="s">
        <v>54</v>
      </c>
      <c r="H30" s="4" t="s">
        <v>142</v>
      </c>
      <c r="I30" s="8" t="s">
        <v>54</v>
      </c>
    </row>
    <row r="31" spans="2:9" ht="12.75">
      <c r="B31" s="3"/>
      <c r="C31" s="3"/>
      <c r="D31" s="3"/>
      <c r="E31" s="3"/>
      <c r="F31" s="3"/>
      <c r="G31" s="3"/>
      <c r="H31" s="9"/>
      <c r="I31" s="6"/>
    </row>
    <row r="32" spans="1:9" ht="12.75">
      <c r="A32" s="1" t="s">
        <v>38</v>
      </c>
      <c r="B32" s="3">
        <f>10/B12</f>
        <v>0.13399468325203714</v>
      </c>
      <c r="C32" s="3">
        <f>10/C12*1000</f>
        <v>65.30000000000001</v>
      </c>
      <c r="D32" s="3">
        <f aca="true" t="shared" si="1" ref="D32:D38">6/D12</f>
        <v>0.125</v>
      </c>
      <c r="E32" s="3">
        <f aca="true" t="shared" si="2" ref="E32:E38">6/E12*1000</f>
        <v>56.69904625</v>
      </c>
      <c r="F32" s="3">
        <f>8/F12</f>
        <v>0.22499718753515582</v>
      </c>
      <c r="G32" s="3">
        <f>8/G12*1000</f>
        <v>102.0570075374058</v>
      </c>
      <c r="H32" s="9">
        <f aca="true" t="shared" si="3" ref="H32:H38">I32/453.59237</f>
        <v>29.864725200852888</v>
      </c>
      <c r="I32" s="6">
        <f aca="true" t="shared" si="4" ref="I32:I38">(8*35.39)/I12*1000</f>
        <v>13546.411483253589</v>
      </c>
    </row>
    <row r="33" spans="1:9" ht="12.75">
      <c r="A33" s="1" t="s">
        <v>37</v>
      </c>
      <c r="B33" s="3">
        <f>10/B13</f>
        <v>0.44356860662743325</v>
      </c>
      <c r="C33" s="3">
        <f>10/C13*1000</f>
        <v>216.16551724137932</v>
      </c>
      <c r="D33" s="3">
        <f t="shared" si="1"/>
        <v>0.3</v>
      </c>
      <c r="E33" s="3">
        <f t="shared" si="2"/>
        <v>136.07771100000002</v>
      </c>
      <c r="F33" s="3">
        <f>8/F13</f>
        <v>0.3312492236346321</v>
      </c>
      <c r="G33" s="3">
        <f>8/G13*1000</f>
        <v>150.2521204090928</v>
      </c>
      <c r="H33" s="9">
        <f t="shared" si="3"/>
        <v>81.06139697374357</v>
      </c>
      <c r="I33" s="6">
        <f t="shared" si="4"/>
        <v>36768.83116883117</v>
      </c>
    </row>
    <row r="34" spans="1:9" ht="12.75">
      <c r="A34" s="1" t="s">
        <v>63</v>
      </c>
      <c r="B34" s="3">
        <f>10/B14</f>
        <v>0.6431744796097782</v>
      </c>
      <c r="C34" s="3">
        <f>10/C14*1000</f>
        <v>313.44</v>
      </c>
      <c r="D34" s="3">
        <f t="shared" si="1"/>
        <v>0.21428571428571427</v>
      </c>
      <c r="E34" s="3">
        <f t="shared" si="2"/>
        <v>97.19836500000001</v>
      </c>
      <c r="F34" s="3">
        <f>8/F14</f>
        <v>0.6666666666666666</v>
      </c>
      <c r="G34" s="3">
        <f>8/G14*1000</f>
        <v>302.39491333333336</v>
      </c>
      <c r="H34" s="9">
        <f t="shared" si="3"/>
        <v>31.05337097999131</v>
      </c>
      <c r="I34" s="6">
        <f t="shared" si="4"/>
        <v>14085.572139303482</v>
      </c>
    </row>
    <row r="35" spans="1:9" ht="12.75">
      <c r="A35" s="1" t="s">
        <v>89</v>
      </c>
      <c r="B35" s="3"/>
      <c r="C35" s="3"/>
      <c r="D35" s="3">
        <f t="shared" si="1"/>
        <v>0.16666666666666666</v>
      </c>
      <c r="E35" s="3">
        <f t="shared" si="2"/>
        <v>75.59872833333334</v>
      </c>
      <c r="F35" s="3"/>
      <c r="G35" s="3"/>
      <c r="H35" s="9">
        <f t="shared" si="3"/>
        <v>7.802159458722818</v>
      </c>
      <c r="I35" s="6">
        <f t="shared" si="4"/>
        <v>3539</v>
      </c>
    </row>
    <row r="36" spans="1:9" ht="12.75">
      <c r="A36" s="1" t="s">
        <v>106</v>
      </c>
      <c r="B36" s="3">
        <f>10/B16</f>
        <v>0.4947495996998294</v>
      </c>
      <c r="C36" s="3">
        <f>10/C16*1000</f>
        <v>241.1076923076923</v>
      </c>
      <c r="D36" s="3">
        <f t="shared" si="1"/>
        <v>0.47058823529411764</v>
      </c>
      <c r="E36" s="3">
        <f t="shared" si="2"/>
        <v>213.4552329411765</v>
      </c>
      <c r="F36" s="3">
        <f>8/F16</f>
        <v>0.4437541601952519</v>
      </c>
      <c r="G36" s="3">
        <f>8/G16*1000</f>
        <v>201.28350122032398</v>
      </c>
      <c r="H36" s="9">
        <f t="shared" si="3"/>
        <v>33.02501358189552</v>
      </c>
      <c r="I36" s="6">
        <f t="shared" si="4"/>
        <v>14979.894179894178</v>
      </c>
    </row>
    <row r="37" spans="1:9" ht="12.75">
      <c r="A37" s="1" t="s">
        <v>120</v>
      </c>
      <c r="B37" s="3">
        <f>10/B17</f>
        <v>0.026798936650407425</v>
      </c>
      <c r="C37" s="3">
        <f>10/C17*1000</f>
        <v>13.06</v>
      </c>
      <c r="D37" s="3">
        <f t="shared" si="1"/>
        <v>0.03409090909090909</v>
      </c>
      <c r="E37" s="3">
        <f t="shared" si="2"/>
        <v>15.463376250000003</v>
      </c>
      <c r="F37" s="3">
        <f>8/F17</f>
        <v>0.0437500341797142</v>
      </c>
      <c r="G37" s="3">
        <f>8/G17*1000</f>
        <v>19.84468169115757</v>
      </c>
      <c r="H37" s="9">
        <f t="shared" si="3"/>
        <v>0.06942967260265022</v>
      </c>
      <c r="I37" s="6">
        <f t="shared" si="4"/>
        <v>31.49276974416018</v>
      </c>
    </row>
    <row r="38" spans="1:9" ht="12.75">
      <c r="A38" s="1" t="s">
        <v>146</v>
      </c>
      <c r="B38" s="3">
        <f>10/B18</f>
        <v>0.8039680995122228</v>
      </c>
      <c r="C38" s="3">
        <f>10/C18*1000</f>
        <v>391.8</v>
      </c>
      <c r="D38" s="3">
        <f t="shared" si="1"/>
        <v>0.25</v>
      </c>
      <c r="E38" s="3">
        <f t="shared" si="2"/>
        <v>113.3980925</v>
      </c>
      <c r="F38" s="3">
        <f>8/F18</f>
        <v>0.5</v>
      </c>
      <c r="G38" s="3">
        <f>8/G18*1000</f>
        <v>226.796185</v>
      </c>
      <c r="H38" s="9">
        <f t="shared" si="3"/>
        <v>58.884222329983515</v>
      </c>
      <c r="I38" s="6">
        <f t="shared" si="4"/>
        <v>26709.433962264146</v>
      </c>
    </row>
    <row r="39" spans="1:9" ht="12.75">
      <c r="A39" s="2"/>
      <c r="D39" s="3"/>
      <c r="E39" s="3"/>
      <c r="F39" s="3"/>
      <c r="I39" s="9"/>
    </row>
    <row r="40" spans="1:9" ht="12.75">
      <c r="A40" s="2"/>
      <c r="D40" s="3"/>
      <c r="E40" s="3"/>
      <c r="F40" s="3"/>
      <c r="I40" s="9"/>
    </row>
    <row r="41" spans="1:9" ht="12.75">
      <c r="A41" s="2"/>
      <c r="B41" s="4" t="s">
        <v>19</v>
      </c>
      <c r="C41" s="4" t="s">
        <v>19</v>
      </c>
      <c r="D41" s="4" t="s">
        <v>104</v>
      </c>
      <c r="E41" s="4" t="s">
        <v>104</v>
      </c>
      <c r="F41" s="4" t="s">
        <v>88</v>
      </c>
      <c r="G41" s="4" t="s">
        <v>88</v>
      </c>
      <c r="H41" s="8" t="s">
        <v>132</v>
      </c>
      <c r="I41" s="10" t="s">
        <v>132</v>
      </c>
    </row>
    <row r="42" spans="1:9" ht="12.75">
      <c r="A42" s="2"/>
      <c r="B42" s="4" t="s">
        <v>55</v>
      </c>
      <c r="C42" s="4" t="s">
        <v>55</v>
      </c>
      <c r="D42" s="4" t="s">
        <v>55</v>
      </c>
      <c r="E42" s="4" t="s">
        <v>55</v>
      </c>
      <c r="F42" s="4" t="s">
        <v>55</v>
      </c>
      <c r="G42" s="4" t="s">
        <v>55</v>
      </c>
      <c r="H42" s="8" t="s">
        <v>55</v>
      </c>
      <c r="I42" s="10" t="s">
        <v>55</v>
      </c>
    </row>
    <row r="43" spans="1:9" ht="12.75">
      <c r="A43" s="2"/>
      <c r="B43" s="4" t="s">
        <v>71</v>
      </c>
      <c r="C43" s="4" t="s">
        <v>71</v>
      </c>
      <c r="D43" s="4" t="s">
        <v>73</v>
      </c>
      <c r="E43" s="4" t="s">
        <v>73</v>
      </c>
      <c r="F43" s="4" t="s">
        <v>73</v>
      </c>
      <c r="G43" s="4" t="s">
        <v>73</v>
      </c>
      <c r="H43" s="8" t="s">
        <v>68</v>
      </c>
      <c r="I43" s="10" t="s">
        <v>69</v>
      </c>
    </row>
    <row r="44" spans="1:9" ht="12.75">
      <c r="A44" s="2"/>
      <c r="B44" s="3"/>
      <c r="C44" s="3"/>
      <c r="D44" s="3"/>
      <c r="E44" s="3"/>
      <c r="F44" s="3"/>
      <c r="G44" s="3"/>
      <c r="H44" s="8" t="s">
        <v>6</v>
      </c>
      <c r="I44" s="4" t="s">
        <v>6</v>
      </c>
    </row>
    <row r="45" spans="1:9" ht="12.75">
      <c r="A45" s="2"/>
      <c r="B45" s="3"/>
      <c r="C45" s="3"/>
      <c r="D45" s="3"/>
      <c r="E45" s="3"/>
      <c r="F45" s="3"/>
      <c r="G45" s="3"/>
      <c r="I45" s="9"/>
    </row>
    <row r="46" spans="1:9" ht="12.75">
      <c r="A46" s="2"/>
      <c r="B46" s="3">
        <v>10</v>
      </c>
      <c r="C46" s="3">
        <v>10</v>
      </c>
      <c r="D46" s="3">
        <v>6</v>
      </c>
      <c r="E46" s="3">
        <v>6</v>
      </c>
      <c r="F46" s="3">
        <v>8</v>
      </c>
      <c r="G46" s="3">
        <v>8</v>
      </c>
      <c r="H46" s="6">
        <f>35.39*8</f>
        <v>283.12</v>
      </c>
      <c r="I46" s="3">
        <f>35.39*8</f>
        <v>283.12</v>
      </c>
    </row>
    <row r="47" spans="1:9" ht="12.75">
      <c r="A47" s="2"/>
      <c r="B47" s="3"/>
      <c r="C47" s="3"/>
      <c r="D47" s="3"/>
      <c r="E47" s="3"/>
      <c r="F47" s="3"/>
      <c r="G47" s="3"/>
      <c r="I47" s="3"/>
    </row>
    <row r="48" spans="2:9" ht="12.75">
      <c r="B48" s="1" t="s">
        <v>13</v>
      </c>
      <c r="C48" s="1" t="s">
        <v>13</v>
      </c>
      <c r="D48" s="1" t="s">
        <v>13</v>
      </c>
      <c r="E48" s="1" t="s">
        <v>13</v>
      </c>
      <c r="F48" s="1" t="s">
        <v>13</v>
      </c>
      <c r="G48" s="1" t="s">
        <v>13</v>
      </c>
      <c r="H48" s="8" t="s">
        <v>99</v>
      </c>
      <c r="I48" s="8" t="s">
        <v>99</v>
      </c>
    </row>
    <row r="49" spans="2:9" ht="12.75">
      <c r="B49" s="3"/>
      <c r="C49" s="3"/>
      <c r="D49" s="3"/>
      <c r="E49" s="3"/>
      <c r="F49" s="3"/>
      <c r="G49" s="3"/>
      <c r="I49" s="9"/>
    </row>
    <row r="50" spans="1:9" ht="12.75">
      <c r="A50" s="1" t="s">
        <v>92</v>
      </c>
      <c r="B50" s="4" t="s">
        <v>94</v>
      </c>
      <c r="C50" s="4" t="s">
        <v>94</v>
      </c>
      <c r="D50" s="4" t="s">
        <v>94</v>
      </c>
      <c r="E50" s="4" t="s">
        <v>94</v>
      </c>
      <c r="F50" s="4" t="s">
        <v>94</v>
      </c>
      <c r="G50" s="4" t="s">
        <v>94</v>
      </c>
      <c r="H50" s="7" t="s">
        <v>95</v>
      </c>
      <c r="I50" s="8" t="s">
        <v>95</v>
      </c>
    </row>
    <row r="51" spans="1:9" ht="12.75">
      <c r="A51" s="1" t="s">
        <v>122</v>
      </c>
      <c r="B51" s="4" t="s">
        <v>143</v>
      </c>
      <c r="C51" s="4" t="s">
        <v>143</v>
      </c>
      <c r="D51" s="4" t="s">
        <v>143</v>
      </c>
      <c r="E51" s="4" t="s">
        <v>143</v>
      </c>
      <c r="F51" s="4" t="s">
        <v>143</v>
      </c>
      <c r="G51" s="4" t="s">
        <v>143</v>
      </c>
      <c r="H51" s="8" t="s">
        <v>25</v>
      </c>
      <c r="I51" s="8" t="s">
        <v>25</v>
      </c>
    </row>
    <row r="52" spans="2:9" ht="12.75">
      <c r="B52" s="4" t="s">
        <v>29</v>
      </c>
      <c r="C52" s="3" t="s">
        <v>30</v>
      </c>
      <c r="D52" s="4" t="s">
        <v>29</v>
      </c>
      <c r="E52" s="4" t="s">
        <v>30</v>
      </c>
      <c r="F52" s="4" t="s">
        <v>29</v>
      </c>
      <c r="G52" s="4" t="s">
        <v>30</v>
      </c>
      <c r="H52" s="7" t="s">
        <v>129</v>
      </c>
      <c r="I52" s="8" t="s">
        <v>127</v>
      </c>
    </row>
    <row r="53" spans="2:9" ht="12.75">
      <c r="B53" s="3"/>
      <c r="C53" s="3"/>
      <c r="D53" s="3"/>
      <c r="E53" s="3"/>
      <c r="F53" s="3"/>
      <c r="G53" s="3"/>
      <c r="H53" s="9"/>
      <c r="I53" s="6"/>
    </row>
    <row r="54" spans="1:14" ht="12.75">
      <c r="A54" s="1" t="s">
        <v>38</v>
      </c>
      <c r="B54" s="3">
        <f>B12/10</f>
        <v>7.462982677596626</v>
      </c>
      <c r="C54" s="3">
        <f>C12/10/10</f>
        <v>1.5313935681470137</v>
      </c>
      <c r="D54" s="3">
        <f aca="true" t="shared" si="5" ref="D54:D60">D12/6</f>
        <v>8</v>
      </c>
      <c r="E54" s="3">
        <f aca="true" t="shared" si="6" ref="E54:E60">E12/6/10</f>
        <v>1.7636980974790206</v>
      </c>
      <c r="F54" s="3">
        <f>F12/8</f>
        <v>4.4445</v>
      </c>
      <c r="G54" s="3">
        <f>G12/8/10</f>
        <v>0.9798445242806884</v>
      </c>
      <c r="H54" s="9">
        <f aca="true" t="shared" si="7" ref="H54:H60">(H12/35.39)*60</f>
        <v>16.072473353489688</v>
      </c>
      <c r="I54" s="6">
        <f aca="true" t="shared" si="8" ref="I54:I60">(I12/35.39/10)*60</f>
        <v>3.5433738344165016</v>
      </c>
      <c r="N54" s="6">
        <f aca="true" t="shared" si="9" ref="N54:N60">I54*453.59237/100</f>
        <v>16.072473353489684</v>
      </c>
    </row>
    <row r="55" spans="1:14" ht="12.75">
      <c r="A55" s="1" t="s">
        <v>37</v>
      </c>
      <c r="B55" s="3">
        <f>B13/10</f>
        <v>2.2544426838573144</v>
      </c>
      <c r="C55" s="3">
        <f>C13/10/10</f>
        <v>0.4626084737110771</v>
      </c>
      <c r="D55" s="3">
        <f t="shared" si="5"/>
        <v>3.3333333333333335</v>
      </c>
      <c r="E55" s="3">
        <f t="shared" si="6"/>
        <v>0.7348742072829253</v>
      </c>
      <c r="F55" s="3">
        <f>F13/8</f>
        <v>3.018875</v>
      </c>
      <c r="G55" s="3">
        <f>G13/8/10</f>
        <v>0.6655480117533722</v>
      </c>
      <c r="H55" s="9">
        <f t="shared" si="7"/>
        <v>5.921437551285674</v>
      </c>
      <c r="I55" s="6">
        <f t="shared" si="8"/>
        <v>1.3054535179429216</v>
      </c>
      <c r="N55" s="6">
        <f t="shared" si="9"/>
        <v>5.921437551285674</v>
      </c>
    </row>
    <row r="56" spans="1:14" ht="12.75">
      <c r="A56" s="1" t="s">
        <v>63</v>
      </c>
      <c r="B56" s="3">
        <f>B14/10</f>
        <v>1.5547880578326307</v>
      </c>
      <c r="C56" s="3">
        <f>C14/10/10</f>
        <v>0.31904032669729454</v>
      </c>
      <c r="D56" s="3">
        <f t="shared" si="5"/>
        <v>4.666666666666667</v>
      </c>
      <c r="E56" s="3">
        <f t="shared" si="6"/>
        <v>1.0288238901960953</v>
      </c>
      <c r="F56" s="3">
        <f>F14/8</f>
        <v>1.5</v>
      </c>
      <c r="G56" s="3">
        <f>G14/8/10</f>
        <v>0.33069339327731634</v>
      </c>
      <c r="H56" s="9">
        <f t="shared" si="7"/>
        <v>15.45725906244702</v>
      </c>
      <c r="I56" s="6">
        <f t="shared" si="8"/>
        <v>3.4077423000847697</v>
      </c>
      <c r="N56" s="6">
        <f t="shared" si="9"/>
        <v>15.457259062447019</v>
      </c>
    </row>
    <row r="57" spans="1:14" ht="12.75">
      <c r="A57" s="1" t="s">
        <v>89</v>
      </c>
      <c r="B57" s="3"/>
      <c r="C57" s="3"/>
      <c r="D57" s="3">
        <f t="shared" si="5"/>
        <v>6</v>
      </c>
      <c r="E57" s="3">
        <f t="shared" si="6"/>
        <v>1.3227735731092656</v>
      </c>
      <c r="F57" s="3"/>
      <c r="G57" s="3"/>
      <c r="H57" s="9">
        <f t="shared" si="7"/>
        <v>61.521429104266744</v>
      </c>
      <c r="I57" s="6">
        <f t="shared" si="8"/>
        <v>13.563153433173213</v>
      </c>
      <c r="N57" s="6">
        <f t="shared" si="9"/>
        <v>61.521429104266744</v>
      </c>
    </row>
    <row r="58" spans="1:14" ht="12.75">
      <c r="A58" s="1" t="s">
        <v>106</v>
      </c>
      <c r="B58" s="3">
        <f>B16/10</f>
        <v>2.0212244751824198</v>
      </c>
      <c r="C58" s="3">
        <f>C16/10/10</f>
        <v>0.4147524247064829</v>
      </c>
      <c r="D58" s="3">
        <f t="shared" si="5"/>
        <v>2.125</v>
      </c>
      <c r="E58" s="3">
        <f t="shared" si="6"/>
        <v>0.4684823071428649</v>
      </c>
      <c r="F58" s="3">
        <f>F16/8</f>
        <v>2.2535</v>
      </c>
      <c r="G58" s="3">
        <f>G16/8/10</f>
        <v>0.4968117078336215</v>
      </c>
      <c r="H58" s="9">
        <f t="shared" si="7"/>
        <v>14.534437625883019</v>
      </c>
      <c r="I58" s="6">
        <f t="shared" si="8"/>
        <v>3.2042949985871716</v>
      </c>
      <c r="N58" s="6">
        <f t="shared" si="9"/>
        <v>14.53443762588302</v>
      </c>
    </row>
    <row r="59" spans="1:14" ht="12.75">
      <c r="A59" s="1" t="s">
        <v>120</v>
      </c>
      <c r="B59" s="3">
        <f>B17/10</f>
        <v>37.31491338798314</v>
      </c>
      <c r="C59" s="3">
        <f>C17/10/10</f>
        <v>7.656967840735068</v>
      </c>
      <c r="D59" s="3">
        <f t="shared" si="5"/>
        <v>29.333333333333332</v>
      </c>
      <c r="E59" s="3">
        <f t="shared" si="6"/>
        <v>6.466893024089741</v>
      </c>
      <c r="F59" s="3">
        <f>F17/8</f>
        <v>22.857125</v>
      </c>
      <c r="G59" s="3">
        <f>G17/8/10</f>
        <v>5.0391334845425195</v>
      </c>
      <c r="H59" s="9">
        <f t="shared" si="7"/>
        <v>6913.470595591975</v>
      </c>
      <c r="I59" s="6">
        <f t="shared" si="8"/>
        <v>1524.1593670528398</v>
      </c>
      <c r="N59" s="6">
        <f t="shared" si="9"/>
        <v>6913.470595591975</v>
      </c>
    </row>
    <row r="60" spans="1:14" ht="12.75">
      <c r="A60" s="1" t="s">
        <v>124</v>
      </c>
      <c r="B60" s="3">
        <f>B18/10</f>
        <v>1.2438304462661045</v>
      </c>
      <c r="C60" s="3">
        <f>C18/10/10</f>
        <v>0.2552322613578356</v>
      </c>
      <c r="D60" s="3">
        <f t="shared" si="5"/>
        <v>4</v>
      </c>
      <c r="E60" s="3">
        <f t="shared" si="6"/>
        <v>0.8818490487395103</v>
      </c>
      <c r="F60" s="3">
        <f>F18/8</f>
        <v>2</v>
      </c>
      <c r="G60" s="3">
        <f>G18/8/10</f>
        <v>0.44092452436975516</v>
      </c>
      <c r="H60" s="9">
        <f t="shared" si="7"/>
        <v>8.151589356315343</v>
      </c>
      <c r="I60" s="6">
        <f t="shared" si="8"/>
        <v>1.797117829895451</v>
      </c>
      <c r="N60" s="6">
        <f t="shared" si="9"/>
        <v>8.151589356315345</v>
      </c>
    </row>
    <row r="61" spans="2:9" ht="12.75">
      <c r="B61" s="3"/>
      <c r="C61" s="3"/>
      <c r="D61" s="3"/>
      <c r="E61" s="3"/>
      <c r="F61" s="3"/>
      <c r="G61" s="3"/>
      <c r="I61" s="9"/>
    </row>
    <row r="62" spans="2:9" ht="12.75">
      <c r="B62" s="3"/>
      <c r="C62" s="3"/>
      <c r="D62" s="3"/>
      <c r="E62" s="3"/>
      <c r="F62" s="3"/>
      <c r="G62" s="3"/>
      <c r="I62" s="9"/>
    </row>
    <row r="63" spans="2:9" ht="12.75">
      <c r="B63" s="3"/>
      <c r="C63" s="3"/>
      <c r="D63" s="3"/>
      <c r="E63" s="3"/>
      <c r="F63" s="3"/>
      <c r="G63" s="3"/>
      <c r="I63" s="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3.57421875" style="1" customWidth="1"/>
    <col min="2" max="2" width="10.7109375" style="3" customWidth="1"/>
    <col min="3" max="3" width="7.7109375" style="3" customWidth="1"/>
    <col min="5" max="5" width="13.140625" style="6" customWidth="1"/>
    <col min="6" max="6" width="11.57421875" style="11" customWidth="1"/>
    <col min="8" max="8" width="21.140625" style="9" customWidth="1"/>
    <col min="9" max="9" width="7.140625" style="11" customWidth="1"/>
    <col min="11" max="11" width="8.421875" style="3" customWidth="1"/>
    <col min="12" max="12" width="8.7109375" style="9" customWidth="1"/>
    <col min="13" max="13" width="8.421875" style="2" customWidth="1"/>
  </cols>
  <sheetData>
    <row r="1" spans="2:9" ht="12.75">
      <c r="B1" s="1"/>
      <c r="C1" s="1" t="s">
        <v>44</v>
      </c>
      <c r="D1" s="3"/>
      <c r="F1" s="6"/>
      <c r="I1" s="9"/>
    </row>
    <row r="3" spans="1:12" ht="12.75">
      <c r="A3" s="4" t="s">
        <v>58</v>
      </c>
      <c r="B3" s="4" t="s">
        <v>59</v>
      </c>
      <c r="E3" s="8" t="s">
        <v>32</v>
      </c>
      <c r="H3" s="10" t="s">
        <v>32</v>
      </c>
      <c r="I3" s="6"/>
      <c r="K3" s="4" t="s">
        <v>95</v>
      </c>
      <c r="L3" s="10"/>
    </row>
    <row r="4" spans="1:12" ht="12.75">
      <c r="A4" s="2"/>
      <c r="E4" s="8" t="s">
        <v>67</v>
      </c>
      <c r="H4" s="10" t="s">
        <v>15</v>
      </c>
      <c r="I4" s="8"/>
      <c r="K4" s="4" t="s">
        <v>21</v>
      </c>
      <c r="L4" s="10"/>
    </row>
    <row r="5" spans="1:12" ht="12.75">
      <c r="A5" s="1" t="s">
        <v>91</v>
      </c>
      <c r="B5" s="4" t="s">
        <v>118</v>
      </c>
      <c r="C5" s="4" t="s">
        <v>114</v>
      </c>
      <c r="D5" s="5"/>
      <c r="E5" s="8" t="s">
        <v>1</v>
      </c>
      <c r="G5" s="5"/>
      <c r="H5" s="10" t="s">
        <v>149</v>
      </c>
      <c r="I5" s="8"/>
      <c r="K5" s="4" t="s">
        <v>128</v>
      </c>
      <c r="L5" s="10" t="s">
        <v>128</v>
      </c>
    </row>
    <row r="6" spans="2:12" ht="12.75">
      <c r="B6" s="4" t="s">
        <v>81</v>
      </c>
      <c r="C6" s="4" t="s">
        <v>112</v>
      </c>
      <c r="E6" s="8" t="s">
        <v>65</v>
      </c>
      <c r="F6" s="7" t="s">
        <v>85</v>
      </c>
      <c r="H6" s="10" t="s">
        <v>64</v>
      </c>
      <c r="I6" s="8" t="s">
        <v>84</v>
      </c>
      <c r="K6" s="4" t="s">
        <v>11</v>
      </c>
      <c r="L6" s="10" t="s">
        <v>83</v>
      </c>
    </row>
    <row r="8" spans="1:12" ht="12.75">
      <c r="A8" s="1" t="s">
        <v>14</v>
      </c>
      <c r="B8" s="3">
        <v>52</v>
      </c>
      <c r="C8" s="3">
        <f aca="true" t="shared" si="0" ref="C8:C24">B8*0.45359237</f>
        <v>23.586803240000002</v>
      </c>
      <c r="E8" s="6">
        <f aca="true" t="shared" si="1" ref="E8:E24">30.31/(B8/1000)</f>
        <v>582.8846153846154</v>
      </c>
      <c r="F8" s="11">
        <f aca="true" t="shared" si="2" ref="F8:F24">30.31/C8</f>
        <v>1.2850406090045459</v>
      </c>
      <c r="H8" s="9">
        <f aca="true" t="shared" si="3" ref="H8:H24">(8*30.31)/B8*1000</f>
        <v>4663.076923076923</v>
      </c>
      <c r="I8" s="9">
        <f aca="true" t="shared" si="4" ref="I8:I24">(8*30.31)/C8</f>
        <v>10.280324872036367</v>
      </c>
      <c r="K8" s="3">
        <f aca="true" t="shared" si="5" ref="K8:K24">(100/E8)*60</f>
        <v>10.293632464533157</v>
      </c>
      <c r="L8" s="9">
        <f aca="true" t="shared" si="6" ref="L8:L24">(1/F8)*60</f>
        <v>46.691131454965365</v>
      </c>
    </row>
    <row r="9" spans="1:12" ht="12.75">
      <c r="A9" s="1" t="s">
        <v>18</v>
      </c>
      <c r="B9" s="3">
        <v>24.23</v>
      </c>
      <c r="C9" s="3">
        <f t="shared" si="0"/>
        <v>10.9905431251</v>
      </c>
      <c r="E9" s="6">
        <f t="shared" si="1"/>
        <v>1250.9286009079651</v>
      </c>
      <c r="F9" s="11">
        <f t="shared" si="2"/>
        <v>2.7578254918793395</v>
      </c>
      <c r="H9" s="9">
        <f t="shared" si="3"/>
        <v>10007.428807263721</v>
      </c>
      <c r="I9" s="9">
        <f t="shared" si="4"/>
        <v>22.062603935034716</v>
      </c>
      <c r="K9" s="3">
        <f t="shared" si="5"/>
        <v>4.796436819531508</v>
      </c>
      <c r="L9" s="9">
        <f t="shared" si="6"/>
        <v>21.75627144526559</v>
      </c>
    </row>
    <row r="10" spans="1:12" ht="12.75">
      <c r="A10" s="1" t="s">
        <v>31</v>
      </c>
      <c r="B10" s="3">
        <v>60</v>
      </c>
      <c r="C10" s="3">
        <f t="shared" si="0"/>
        <v>27.2155422</v>
      </c>
      <c r="E10" s="6">
        <f t="shared" si="1"/>
        <v>505.1666666666667</v>
      </c>
      <c r="F10" s="11">
        <f t="shared" si="2"/>
        <v>1.113701861137273</v>
      </c>
      <c r="H10" s="9">
        <f t="shared" si="3"/>
        <v>4041.333333333333</v>
      </c>
      <c r="I10" s="9">
        <f t="shared" si="4"/>
        <v>8.909614889098185</v>
      </c>
      <c r="K10" s="3">
        <f t="shared" si="5"/>
        <v>11.87726822830749</v>
      </c>
      <c r="L10" s="9">
        <f t="shared" si="6"/>
        <v>53.87438244803696</v>
      </c>
    </row>
    <row r="11" spans="1:12" ht="12.75">
      <c r="A11" s="1" t="s">
        <v>33</v>
      </c>
      <c r="B11" s="3">
        <v>22.4</v>
      </c>
      <c r="C11" s="3">
        <f t="shared" si="0"/>
        <v>10.160469088</v>
      </c>
      <c r="E11" s="6">
        <f t="shared" si="1"/>
        <v>1353.125</v>
      </c>
      <c r="F11" s="11">
        <f t="shared" si="2"/>
        <v>2.983129985189125</v>
      </c>
      <c r="H11" s="9">
        <f t="shared" si="3"/>
        <v>10825.000000000002</v>
      </c>
      <c r="I11" s="9">
        <f t="shared" si="4"/>
        <v>23.865039881513</v>
      </c>
      <c r="K11" s="3">
        <f t="shared" si="5"/>
        <v>4.434180138568129</v>
      </c>
      <c r="L11" s="9">
        <f t="shared" si="6"/>
        <v>20.11310278060046</v>
      </c>
    </row>
    <row r="12" spans="1:12" ht="12.75">
      <c r="A12" s="1" t="s">
        <v>38</v>
      </c>
      <c r="B12" s="3">
        <v>38</v>
      </c>
      <c r="C12" s="3">
        <f t="shared" si="0"/>
        <v>17.23651006</v>
      </c>
      <c r="E12" s="6">
        <f t="shared" si="1"/>
        <v>797.6315789473684</v>
      </c>
      <c r="F12" s="11">
        <f t="shared" si="2"/>
        <v>1.758476622848326</v>
      </c>
      <c r="H12" s="9">
        <f t="shared" si="3"/>
        <v>6381.052631578947</v>
      </c>
      <c r="I12" s="9">
        <f t="shared" si="4"/>
        <v>14.067812982786608</v>
      </c>
      <c r="K12" s="3">
        <f t="shared" si="5"/>
        <v>7.5222698779280766</v>
      </c>
      <c r="L12" s="9">
        <f t="shared" si="6"/>
        <v>34.12044221709007</v>
      </c>
    </row>
    <row r="13" spans="1:12" ht="12.75">
      <c r="A13" s="1" t="s">
        <v>37</v>
      </c>
      <c r="B13" s="3">
        <v>9.5</v>
      </c>
      <c r="C13" s="3">
        <f t="shared" si="0"/>
        <v>4.309127515</v>
      </c>
      <c r="E13" s="6">
        <f t="shared" si="1"/>
        <v>3190.5263157894738</v>
      </c>
      <c r="F13" s="11">
        <f t="shared" si="2"/>
        <v>7.033906491393304</v>
      </c>
      <c r="H13" s="9">
        <f t="shared" si="3"/>
        <v>25524.210526315786</v>
      </c>
      <c r="I13" s="9">
        <f t="shared" si="4"/>
        <v>56.27125193114643</v>
      </c>
      <c r="K13" s="3">
        <f t="shared" si="5"/>
        <v>1.8805674694820191</v>
      </c>
      <c r="L13" s="9">
        <f t="shared" si="6"/>
        <v>8.530110554272518</v>
      </c>
    </row>
    <row r="14" spans="1:12" ht="12.75">
      <c r="A14" s="1" t="s">
        <v>41</v>
      </c>
      <c r="B14" s="3">
        <v>18.74</v>
      </c>
      <c r="C14" s="3">
        <f t="shared" si="0"/>
        <v>8.500321013799999</v>
      </c>
      <c r="E14" s="6">
        <f t="shared" si="1"/>
        <v>1617.3959445037353</v>
      </c>
      <c r="F14" s="11">
        <f t="shared" si="2"/>
        <v>3.5657476877394023</v>
      </c>
      <c r="H14" s="9">
        <f t="shared" si="3"/>
        <v>12939.167556029883</v>
      </c>
      <c r="I14" s="9">
        <f t="shared" si="4"/>
        <v>28.52598150191522</v>
      </c>
      <c r="K14" s="3">
        <f t="shared" si="5"/>
        <v>3.7096667766413725</v>
      </c>
      <c r="L14" s="9">
        <f t="shared" si="6"/>
        <v>16.826765451270205</v>
      </c>
    </row>
    <row r="15" spans="1:12" ht="12.75">
      <c r="A15" s="1" t="s">
        <v>35</v>
      </c>
      <c r="B15" s="3">
        <v>19.81</v>
      </c>
      <c r="C15" s="3">
        <f t="shared" si="0"/>
        <v>8.9856648497</v>
      </c>
      <c r="E15" s="6">
        <f t="shared" si="1"/>
        <v>1530.035335689046</v>
      </c>
      <c r="F15" s="11">
        <f t="shared" si="2"/>
        <v>3.3731505132880564</v>
      </c>
      <c r="H15" s="9">
        <f t="shared" si="3"/>
        <v>12240.282685512368</v>
      </c>
      <c r="I15" s="9">
        <f t="shared" si="4"/>
        <v>26.98520410630445</v>
      </c>
      <c r="K15" s="3">
        <f t="shared" si="5"/>
        <v>3.921478060046189</v>
      </c>
      <c r="L15" s="9">
        <f t="shared" si="6"/>
        <v>17.787525271593534</v>
      </c>
    </row>
    <row r="16" spans="1:12" ht="12.75">
      <c r="A16" s="1" t="s">
        <v>47</v>
      </c>
      <c r="B16" s="3">
        <v>22.02</v>
      </c>
      <c r="C16" s="3">
        <f t="shared" si="0"/>
        <v>9.9881039874</v>
      </c>
      <c r="E16" s="6">
        <f t="shared" si="1"/>
        <v>1376.4759309718438</v>
      </c>
      <c r="F16" s="11">
        <f t="shared" si="2"/>
        <v>3.0346099758508807</v>
      </c>
      <c r="H16" s="9">
        <f t="shared" si="3"/>
        <v>11011.80744777475</v>
      </c>
      <c r="I16" s="9">
        <f t="shared" si="4"/>
        <v>24.276879806807045</v>
      </c>
      <c r="K16" s="3">
        <f t="shared" si="5"/>
        <v>4.358957439788848</v>
      </c>
      <c r="L16" s="9">
        <f t="shared" si="6"/>
        <v>19.77189835842956</v>
      </c>
    </row>
    <row r="17" spans="1:12" ht="12.75">
      <c r="A17" s="1" t="s">
        <v>60</v>
      </c>
      <c r="B17" s="3">
        <v>21.21</v>
      </c>
      <c r="C17" s="3">
        <f t="shared" si="0"/>
        <v>9.620694167700002</v>
      </c>
      <c r="E17" s="6">
        <f t="shared" si="1"/>
        <v>1429.042904290429</v>
      </c>
      <c r="F17" s="11">
        <f t="shared" si="2"/>
        <v>3.150500314391154</v>
      </c>
      <c r="H17" s="9">
        <f t="shared" si="3"/>
        <v>11432.34323432343</v>
      </c>
      <c r="I17" s="9">
        <f t="shared" si="4"/>
        <v>25.204002515129233</v>
      </c>
      <c r="K17" s="3">
        <f t="shared" si="5"/>
        <v>4.1986143187066975</v>
      </c>
      <c r="L17" s="9">
        <f t="shared" si="6"/>
        <v>19.044594195381066</v>
      </c>
    </row>
    <row r="18" spans="1:12" ht="12.75">
      <c r="A18" s="1" t="s">
        <v>61</v>
      </c>
      <c r="B18" s="3">
        <v>16.91</v>
      </c>
      <c r="C18" s="3">
        <f t="shared" si="0"/>
        <v>7.6702469767000006</v>
      </c>
      <c r="E18" s="6">
        <f t="shared" si="1"/>
        <v>1792.4305144884681</v>
      </c>
      <c r="F18" s="11">
        <f t="shared" si="2"/>
        <v>3.9516328603333166</v>
      </c>
      <c r="H18" s="9">
        <f t="shared" si="3"/>
        <v>14339.444115907745</v>
      </c>
      <c r="I18" s="9">
        <f t="shared" si="4"/>
        <v>31.613062882666533</v>
      </c>
      <c r="K18" s="3">
        <f t="shared" si="5"/>
        <v>3.3474100956779944</v>
      </c>
      <c r="L18" s="9">
        <f t="shared" si="6"/>
        <v>15.183596786605083</v>
      </c>
    </row>
    <row r="19" spans="1:12" ht="12.75">
      <c r="A19" s="1" t="s">
        <v>63</v>
      </c>
      <c r="B19" s="3">
        <v>16.91</v>
      </c>
      <c r="C19" s="3">
        <f t="shared" si="0"/>
        <v>7.6702469767000006</v>
      </c>
      <c r="E19" s="6">
        <f t="shared" si="1"/>
        <v>1792.4305144884681</v>
      </c>
      <c r="F19" s="11">
        <f t="shared" si="2"/>
        <v>3.9516328603333166</v>
      </c>
      <c r="H19" s="9">
        <f t="shared" si="3"/>
        <v>14339.444115907745</v>
      </c>
      <c r="I19" s="9">
        <f t="shared" si="4"/>
        <v>31.613062882666533</v>
      </c>
      <c r="K19" s="3">
        <f t="shared" si="5"/>
        <v>3.3474100956779944</v>
      </c>
      <c r="L19" s="9">
        <f t="shared" si="6"/>
        <v>15.183596786605083</v>
      </c>
    </row>
    <row r="20" spans="1:12" ht="12.75">
      <c r="A20" s="1" t="s">
        <v>89</v>
      </c>
      <c r="B20" s="3">
        <v>80</v>
      </c>
      <c r="C20" s="3">
        <f t="shared" si="0"/>
        <v>36.287389600000004</v>
      </c>
      <c r="E20" s="6">
        <f t="shared" si="1"/>
        <v>378.875</v>
      </c>
      <c r="F20" s="11">
        <f t="shared" si="2"/>
        <v>0.8352763958529548</v>
      </c>
      <c r="H20" s="9">
        <f t="shared" si="3"/>
        <v>3030.9999999999995</v>
      </c>
      <c r="I20" s="9">
        <f t="shared" si="4"/>
        <v>6.682211166823638</v>
      </c>
      <c r="K20" s="3">
        <f t="shared" si="5"/>
        <v>15.836357637743317</v>
      </c>
      <c r="L20" s="9">
        <f t="shared" si="6"/>
        <v>71.83250993071594</v>
      </c>
    </row>
    <row r="21" spans="1:12" ht="12.75">
      <c r="A21" s="1" t="s">
        <v>100</v>
      </c>
      <c r="B21" s="3">
        <v>48.75</v>
      </c>
      <c r="C21" s="3">
        <f t="shared" si="0"/>
        <v>22.112628037500002</v>
      </c>
      <c r="E21" s="6">
        <f t="shared" si="1"/>
        <v>621.7435897435897</v>
      </c>
      <c r="F21" s="11">
        <f t="shared" si="2"/>
        <v>1.3707099829381824</v>
      </c>
      <c r="H21" s="9">
        <f t="shared" si="3"/>
        <v>4973.948717948718</v>
      </c>
      <c r="I21" s="9">
        <f t="shared" si="4"/>
        <v>10.965679863505459</v>
      </c>
      <c r="K21" s="3">
        <f t="shared" si="5"/>
        <v>9.650280435499836</v>
      </c>
      <c r="L21" s="9">
        <f t="shared" si="6"/>
        <v>43.772935739030025</v>
      </c>
    </row>
    <row r="22" spans="1:12" ht="12.75">
      <c r="A22" s="1" t="s">
        <v>106</v>
      </c>
      <c r="B22" s="3">
        <v>19.82</v>
      </c>
      <c r="C22" s="3">
        <f t="shared" si="0"/>
        <v>8.9902007734</v>
      </c>
      <c r="E22" s="6">
        <f t="shared" si="1"/>
        <v>1529.2633703329968</v>
      </c>
      <c r="F22" s="11">
        <f t="shared" si="2"/>
        <v>3.371448621000827</v>
      </c>
      <c r="H22" s="9">
        <f t="shared" si="3"/>
        <v>12234.106962663976</v>
      </c>
      <c r="I22" s="9">
        <f t="shared" si="4"/>
        <v>26.971588968006618</v>
      </c>
      <c r="K22" s="3">
        <f t="shared" si="5"/>
        <v>3.923457604750908</v>
      </c>
      <c r="L22" s="9">
        <f t="shared" si="6"/>
        <v>17.796504335334873</v>
      </c>
    </row>
    <row r="23" spans="1:12" ht="12.75">
      <c r="A23" s="1" t="s">
        <v>120</v>
      </c>
      <c r="B23" s="3">
        <v>3750</v>
      </c>
      <c r="C23" s="3">
        <f t="shared" si="0"/>
        <v>1700.9713875</v>
      </c>
      <c r="E23" s="6">
        <f t="shared" si="1"/>
        <v>8.082666666666666</v>
      </c>
      <c r="F23" s="11">
        <f t="shared" si="2"/>
        <v>0.01781922977819637</v>
      </c>
      <c r="H23" s="9">
        <f t="shared" si="3"/>
        <v>64.66133333333333</v>
      </c>
      <c r="I23" s="9">
        <f t="shared" si="4"/>
        <v>0.14255383822557097</v>
      </c>
      <c r="K23" s="3">
        <f t="shared" si="5"/>
        <v>742.3292642692181</v>
      </c>
      <c r="L23" s="9">
        <f t="shared" si="6"/>
        <v>3367.14890300231</v>
      </c>
    </row>
    <row r="24" spans="1:12" ht="12.75">
      <c r="A24" s="1" t="s">
        <v>141</v>
      </c>
      <c r="B24" s="3">
        <v>19.82</v>
      </c>
      <c r="C24" s="3">
        <f t="shared" si="0"/>
        <v>8.9902007734</v>
      </c>
      <c r="E24" s="6">
        <f t="shared" si="1"/>
        <v>1529.2633703329968</v>
      </c>
      <c r="F24" s="11">
        <f t="shared" si="2"/>
        <v>3.371448621000827</v>
      </c>
      <c r="H24" s="9">
        <f t="shared" si="3"/>
        <v>12234.106962663976</v>
      </c>
      <c r="I24" s="9">
        <f t="shared" si="4"/>
        <v>26.971588968006618</v>
      </c>
      <c r="K24" s="3">
        <f t="shared" si="5"/>
        <v>3.923457604750908</v>
      </c>
      <c r="L24" s="9">
        <f t="shared" si="6"/>
        <v>17.796504335334873</v>
      </c>
    </row>
    <row r="25" ht="12.75">
      <c r="I25" s="9"/>
    </row>
    <row r="26" spans="1:12" ht="12.75">
      <c r="A26" s="1" t="s">
        <v>108</v>
      </c>
      <c r="B26" s="3">
        <v>70</v>
      </c>
      <c r="C26" s="3">
        <f>B26*0.45359237</f>
        <v>31.751465900000003</v>
      </c>
      <c r="E26" s="6">
        <f>30.31/(B26/1000)</f>
        <v>432.99999999999994</v>
      </c>
      <c r="F26" s="11">
        <f>30.31/C26</f>
        <v>0.9546015952605198</v>
      </c>
      <c r="H26" s="9">
        <f>(8*30.31)/B26*1000</f>
        <v>3464</v>
      </c>
      <c r="I26" s="9">
        <f>(8*30.31)/C26</f>
        <v>7.636812762084158</v>
      </c>
      <c r="K26" s="3">
        <f>(100/E26)*60</f>
        <v>13.856812933025406</v>
      </c>
      <c r="L26" s="9">
        <f>(1/F26)*60</f>
        <v>62.853446189376456</v>
      </c>
    </row>
    <row r="27" spans="1:12" ht="12.75">
      <c r="A27" s="1" t="s">
        <v>144</v>
      </c>
      <c r="B27" s="3">
        <v>44.06</v>
      </c>
      <c r="C27" s="3">
        <f>B27*0.45359237</f>
        <v>19.985279822200003</v>
      </c>
      <c r="E27" s="6">
        <f>30.31/(B27/1000)</f>
        <v>687.9255560599182</v>
      </c>
      <c r="F27" s="11">
        <f>30.31/C27</f>
        <v>1.5166162430375938</v>
      </c>
      <c r="H27" s="9">
        <f>(8*30.31)/B27*1000</f>
        <v>5503.404448479346</v>
      </c>
      <c r="I27" s="9">
        <f>(8*30.31)/C27</f>
        <v>12.13292994430075</v>
      </c>
      <c r="K27" s="3">
        <f>(100/E27)*60</f>
        <v>8.721873968987135</v>
      </c>
      <c r="L27" s="9">
        <f>(1/F27)*60</f>
        <v>39.561754844341806</v>
      </c>
    </row>
    <row r="28" spans="1:12" ht="12.75">
      <c r="A28" s="1" t="s">
        <v>28</v>
      </c>
      <c r="B28" s="3">
        <v>2.45</v>
      </c>
      <c r="C28" s="3">
        <f>B28*0.45359237</f>
        <v>1.1113013065000001</v>
      </c>
      <c r="E28" s="6">
        <f>30.31/(B28/1000)</f>
        <v>12371.428571428569</v>
      </c>
      <c r="F28" s="11">
        <f>30.31/C28</f>
        <v>27.274331293157708</v>
      </c>
      <c r="H28" s="9">
        <f>(8*30.31)/B28*1000</f>
        <v>98971.42857142857</v>
      </c>
      <c r="I28" s="9">
        <f>(8*30.31)/C28</f>
        <v>218.19465034526166</v>
      </c>
      <c r="K28" s="3">
        <f>(100/E28)*60</f>
        <v>0.4849884526558893</v>
      </c>
      <c r="L28" s="9">
        <f>(1/F28)*60</f>
        <v>2.199870616628176</v>
      </c>
    </row>
    <row r="29" spans="1:12" ht="12.75">
      <c r="A29" s="1" t="s">
        <v>119</v>
      </c>
      <c r="B29" s="3">
        <v>5</v>
      </c>
      <c r="C29" s="3">
        <f>B29*0.45359237</f>
        <v>2.2679618500000003</v>
      </c>
      <c r="E29" s="6">
        <f>30.31/(B29/1000)</f>
        <v>6062</v>
      </c>
      <c r="F29" s="11">
        <f>30.31/C29</f>
        <v>13.364422333647276</v>
      </c>
      <c r="H29" s="9">
        <f>(8*30.31)/B29*1000</f>
        <v>48495.99999999999</v>
      </c>
      <c r="I29" s="9">
        <f>(8*30.31)/C29</f>
        <v>106.91537866917821</v>
      </c>
      <c r="K29" s="3">
        <f>(100/E29)*60</f>
        <v>0.9897723523589573</v>
      </c>
      <c r="L29" s="9">
        <f>(1/F29)*60</f>
        <v>4.4895318706697465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R3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15.8515625" style="0" customWidth="1"/>
    <col min="2" max="2" width="10.7109375" style="0" customWidth="1"/>
    <col min="3" max="3" width="10.7109375" style="11" customWidth="1"/>
    <col min="4" max="4" width="7.7109375" style="0" customWidth="1"/>
    <col min="6" max="6" width="13.28125" style="0" customWidth="1"/>
    <col min="8" max="8" width="11.57421875" style="0" customWidth="1"/>
    <col min="10" max="10" width="21.140625" style="0" customWidth="1"/>
    <col min="11" max="11" width="21.140625" style="6" customWidth="1"/>
    <col min="12" max="12" width="21.140625" style="0" customWidth="1"/>
    <col min="14" max="14" width="15.421875" style="0" customWidth="1"/>
    <col min="15" max="15" width="8.7109375" style="0" customWidth="1"/>
    <col min="17" max="17" width="10.7109375" style="3" customWidth="1"/>
  </cols>
  <sheetData>
    <row r="1" spans="2:12" ht="12.75">
      <c r="B1" s="1"/>
      <c r="C1" s="7"/>
      <c r="D1" s="1" t="s">
        <v>45</v>
      </c>
      <c r="E1" s="3"/>
      <c r="H1" s="6"/>
      <c r="L1" s="9"/>
    </row>
    <row r="3" spans="1:17" ht="12.75">
      <c r="A3" s="4" t="s">
        <v>58</v>
      </c>
      <c r="B3" s="4" t="s">
        <v>96</v>
      </c>
      <c r="D3" s="3"/>
      <c r="F3" s="8" t="s">
        <v>32</v>
      </c>
      <c r="G3" s="8" t="s">
        <v>32</v>
      </c>
      <c r="H3" s="8" t="s">
        <v>32</v>
      </c>
      <c r="J3" s="10" t="s">
        <v>32</v>
      </c>
      <c r="K3" s="8" t="s">
        <v>32</v>
      </c>
      <c r="L3" s="10" t="s">
        <v>32</v>
      </c>
      <c r="N3" s="4" t="s">
        <v>95</v>
      </c>
      <c r="O3" s="10"/>
      <c r="Q3" s="4"/>
    </row>
    <row r="4" spans="1:17" ht="12.75">
      <c r="A4" s="2"/>
      <c r="B4" s="3"/>
      <c r="D4" s="3"/>
      <c r="F4" s="8" t="s">
        <v>67</v>
      </c>
      <c r="G4" s="8" t="s">
        <v>67</v>
      </c>
      <c r="H4" s="8" t="s">
        <v>67</v>
      </c>
      <c r="J4" s="10" t="s">
        <v>15</v>
      </c>
      <c r="K4" s="8" t="s">
        <v>15</v>
      </c>
      <c r="L4" s="10" t="s">
        <v>15</v>
      </c>
      <c r="N4" s="4" t="s">
        <v>22</v>
      </c>
      <c r="O4" s="10"/>
      <c r="Q4" s="4"/>
    </row>
    <row r="5" spans="1:18" ht="12.75">
      <c r="A5" s="1" t="s">
        <v>91</v>
      </c>
      <c r="B5" s="4" t="s">
        <v>118</v>
      </c>
      <c r="C5" s="7" t="s">
        <v>114</v>
      </c>
      <c r="D5" s="4" t="s">
        <v>114</v>
      </c>
      <c r="E5" s="5"/>
      <c r="F5" s="8" t="s">
        <v>3</v>
      </c>
      <c r="G5" s="8" t="s">
        <v>3</v>
      </c>
      <c r="H5" s="8" t="s">
        <v>3</v>
      </c>
      <c r="I5" s="5"/>
      <c r="J5" s="10" t="s">
        <v>149</v>
      </c>
      <c r="K5" s="8" t="s">
        <v>149</v>
      </c>
      <c r="L5" s="10" t="s">
        <v>149</v>
      </c>
      <c r="N5" s="4" t="s">
        <v>128</v>
      </c>
      <c r="O5" s="10" t="s">
        <v>128</v>
      </c>
      <c r="Q5" s="4"/>
      <c r="R5" s="4"/>
    </row>
    <row r="6" spans="1:18" ht="12.75">
      <c r="A6" s="1"/>
      <c r="B6" s="4" t="s">
        <v>81</v>
      </c>
      <c r="C6" s="7" t="s">
        <v>112</v>
      </c>
      <c r="D6" s="4" t="s">
        <v>112</v>
      </c>
      <c r="F6" s="8" t="s">
        <v>65</v>
      </c>
      <c r="G6" s="8" t="s">
        <v>79</v>
      </c>
      <c r="H6" s="7" t="s">
        <v>85</v>
      </c>
      <c r="J6" s="10" t="s">
        <v>64</v>
      </c>
      <c r="K6" s="8" t="s">
        <v>82</v>
      </c>
      <c r="L6" s="8" t="s">
        <v>113</v>
      </c>
      <c r="N6" s="4" t="s">
        <v>11</v>
      </c>
      <c r="O6" s="10" t="s">
        <v>83</v>
      </c>
      <c r="Q6" s="4"/>
      <c r="R6" s="4"/>
    </row>
    <row r="7" spans="1:18" ht="12.75">
      <c r="A7" s="1"/>
      <c r="B7" s="3"/>
      <c r="D7" s="4" t="s">
        <v>123</v>
      </c>
      <c r="F7" s="6"/>
      <c r="G7" s="6"/>
      <c r="H7" s="11"/>
      <c r="J7" s="9"/>
      <c r="L7" s="6"/>
      <c r="N7" s="3"/>
      <c r="O7" s="9"/>
      <c r="R7" s="3"/>
    </row>
    <row r="8" spans="1:15" ht="12.75">
      <c r="A8" s="1"/>
      <c r="B8" s="3"/>
      <c r="D8" s="3"/>
      <c r="F8" s="6"/>
      <c r="G8" s="6"/>
      <c r="H8" s="11"/>
      <c r="J8" s="9"/>
      <c r="L8" s="11"/>
      <c r="N8" s="3"/>
      <c r="O8" s="9"/>
    </row>
    <row r="9" spans="1:15" ht="12.75">
      <c r="A9" s="1" t="s">
        <v>14</v>
      </c>
      <c r="B9" s="3">
        <v>52</v>
      </c>
      <c r="C9" s="11">
        <f aca="true" t="shared" si="0" ref="C9:C27">B9*0.45359237</f>
        <v>23.586803240000002</v>
      </c>
      <c r="D9" s="3">
        <f>B9*0.45359237</f>
        <v>23.586803240000002</v>
      </c>
      <c r="F9" s="6">
        <f aca="true" t="shared" si="1" ref="F9:F27">33.07/(B9/1000)</f>
        <v>635.9615384615385</v>
      </c>
      <c r="G9" s="6">
        <f aca="true" t="shared" si="2" ref="G9:G27">33.07/B9</f>
        <v>0.6359615384615385</v>
      </c>
      <c r="H9" s="11">
        <f aca="true" t="shared" si="3" ref="H9:H14">30.31/C9</f>
        <v>1.2850406090045459</v>
      </c>
      <c r="J9" s="9">
        <f aca="true" t="shared" si="4" ref="J9:J27">1000*(8*33.07)/B9</f>
        <v>5087.692307692308</v>
      </c>
      <c r="K9" s="6">
        <f aca="true" t="shared" si="5" ref="K9:K27">(8*33.07)/B9</f>
        <v>5.087692307692308</v>
      </c>
      <c r="L9" s="9">
        <f aca="true" t="shared" si="6" ref="L9:L27">(8*33.071)/D9</f>
        <v>11.216780727255516</v>
      </c>
      <c r="N9" s="3">
        <f aca="true" t="shared" si="7" ref="N9:N27">(100/F9)*60</f>
        <v>9.434532809192621</v>
      </c>
      <c r="O9" s="9">
        <f aca="true" t="shared" si="8" ref="O9:O27">(1/H9)*60</f>
        <v>46.691131454965365</v>
      </c>
    </row>
    <row r="10" spans="1:18" ht="12.75">
      <c r="A10" s="1" t="s">
        <v>18</v>
      </c>
      <c r="B10" s="3">
        <v>24.23</v>
      </c>
      <c r="C10" s="11">
        <f t="shared" si="0"/>
        <v>10.9905431251</v>
      </c>
      <c r="D10" s="3">
        <f>B10*0.45359237</f>
        <v>10.9905431251</v>
      </c>
      <c r="F10" s="6">
        <f t="shared" si="1"/>
        <v>1364.8369789517126</v>
      </c>
      <c r="G10" s="6">
        <f t="shared" si="2"/>
        <v>1.3648369789517127</v>
      </c>
      <c r="H10" s="11">
        <f t="shared" si="3"/>
        <v>2.7578254918793395</v>
      </c>
      <c r="J10" s="9">
        <f t="shared" si="4"/>
        <v>10918.695831613702</v>
      </c>
      <c r="K10" s="6">
        <f t="shared" si="5"/>
        <v>10.918695831613702</v>
      </c>
      <c r="L10" s="9">
        <f t="shared" si="6"/>
        <v>24.072331729974696</v>
      </c>
      <c r="N10" s="3">
        <f t="shared" si="7"/>
        <v>4.396129422437255</v>
      </c>
      <c r="O10" s="9">
        <f t="shared" si="8"/>
        <v>21.75627144526559</v>
      </c>
      <c r="R10" s="3"/>
    </row>
    <row r="11" spans="1:18" ht="12.75">
      <c r="A11" s="1" t="s">
        <v>31</v>
      </c>
      <c r="B11" s="3">
        <v>60</v>
      </c>
      <c r="C11" s="11">
        <f t="shared" si="0"/>
        <v>27.2155422</v>
      </c>
      <c r="D11" s="3">
        <f>B11*0.45359237</f>
        <v>27.2155422</v>
      </c>
      <c r="F11" s="6">
        <f t="shared" si="1"/>
        <v>551.1666666666667</v>
      </c>
      <c r="G11" s="6">
        <f t="shared" si="2"/>
        <v>0.5511666666666667</v>
      </c>
      <c r="H11" s="11">
        <f t="shared" si="3"/>
        <v>1.113701861137273</v>
      </c>
      <c r="J11" s="9">
        <f t="shared" si="4"/>
        <v>4409.333333333333</v>
      </c>
      <c r="K11" s="6">
        <f t="shared" si="5"/>
        <v>4.4093333333333335</v>
      </c>
      <c r="L11" s="9">
        <f t="shared" si="6"/>
        <v>9.721209963621448</v>
      </c>
      <c r="N11" s="3">
        <f t="shared" si="7"/>
        <v>10.885999395222253</v>
      </c>
      <c r="O11" s="9">
        <f t="shared" si="8"/>
        <v>53.87438244803696</v>
      </c>
      <c r="R11" s="3"/>
    </row>
    <row r="12" spans="1:18" ht="12.75">
      <c r="A12" s="1" t="s">
        <v>33</v>
      </c>
      <c r="B12" s="3">
        <v>22.4</v>
      </c>
      <c r="C12" s="11">
        <f t="shared" si="0"/>
        <v>10.160469088</v>
      </c>
      <c r="D12" s="3">
        <f>B12*0.45359237</f>
        <v>10.160469088</v>
      </c>
      <c r="F12" s="6">
        <f t="shared" si="1"/>
        <v>1476.3392857142858</v>
      </c>
      <c r="G12" s="6">
        <f t="shared" si="2"/>
        <v>1.4763392857142859</v>
      </c>
      <c r="H12" s="11">
        <f t="shared" si="3"/>
        <v>2.983129985189125</v>
      </c>
      <c r="J12" s="9">
        <f t="shared" si="4"/>
        <v>11810.714285714286</v>
      </c>
      <c r="K12" s="6">
        <f t="shared" si="5"/>
        <v>11.810714285714287</v>
      </c>
      <c r="L12" s="9">
        <f t="shared" si="6"/>
        <v>26.03895525970031</v>
      </c>
      <c r="N12" s="3">
        <f t="shared" si="7"/>
        <v>4.064106440882975</v>
      </c>
      <c r="O12" s="9">
        <f t="shared" si="8"/>
        <v>20.11310278060046</v>
      </c>
      <c r="R12" s="3"/>
    </row>
    <row r="13" spans="1:18" ht="12.75">
      <c r="A13" s="1" t="s">
        <v>39</v>
      </c>
      <c r="B13" s="3">
        <v>38</v>
      </c>
      <c r="C13" s="11">
        <f t="shared" si="0"/>
        <v>17.23651006</v>
      </c>
      <c r="D13" s="3">
        <f>B13*0.45359237</f>
        <v>17.23651006</v>
      </c>
      <c r="F13" s="6">
        <f t="shared" si="1"/>
        <v>870.2631578947369</v>
      </c>
      <c r="G13" s="6">
        <f t="shared" si="2"/>
        <v>0.8702631578947368</v>
      </c>
      <c r="H13" s="11">
        <f t="shared" si="3"/>
        <v>1.758476622848326</v>
      </c>
      <c r="J13" s="9">
        <f t="shared" si="4"/>
        <v>6962.105263157895</v>
      </c>
      <c r="K13" s="6">
        <f t="shared" si="5"/>
        <v>6.962105263157895</v>
      </c>
      <c r="L13" s="9">
        <f t="shared" si="6"/>
        <v>15.349278889928602</v>
      </c>
      <c r="N13" s="3">
        <f t="shared" si="7"/>
        <v>6.894466283640761</v>
      </c>
      <c r="O13" s="9">
        <f t="shared" si="8"/>
        <v>34.12044221709007</v>
      </c>
      <c r="R13" s="3"/>
    </row>
    <row r="14" spans="1:18" ht="12.75">
      <c r="A14" s="1" t="s">
        <v>40</v>
      </c>
      <c r="B14" s="3">
        <v>32.85</v>
      </c>
      <c r="C14" s="11">
        <f t="shared" si="0"/>
        <v>14.900509354500002</v>
      </c>
      <c r="D14" s="3">
        <v>14.9</v>
      </c>
      <c r="F14" s="6">
        <f t="shared" si="1"/>
        <v>1006.6971080669709</v>
      </c>
      <c r="G14" s="6">
        <f t="shared" si="2"/>
        <v>1.006697108066971</v>
      </c>
      <c r="H14" s="11">
        <f t="shared" si="3"/>
        <v>2.0341586504790374</v>
      </c>
      <c r="J14" s="9">
        <f t="shared" si="4"/>
        <v>8053.576864535768</v>
      </c>
      <c r="K14" s="6">
        <f t="shared" si="5"/>
        <v>8.053576864535769</v>
      </c>
      <c r="L14" s="9">
        <f t="shared" si="6"/>
        <v>17.756241610738254</v>
      </c>
      <c r="N14" s="3">
        <f t="shared" si="7"/>
        <v>5.960084668884186</v>
      </c>
      <c r="O14" s="9">
        <f t="shared" si="8"/>
        <v>29.496224390300235</v>
      </c>
      <c r="R14" s="3"/>
    </row>
    <row r="15" spans="1:18" ht="12.75">
      <c r="A15" s="1" t="s">
        <v>37</v>
      </c>
      <c r="B15" s="3">
        <v>19.89</v>
      </c>
      <c r="C15" s="11">
        <f t="shared" si="0"/>
        <v>9.021952239300001</v>
      </c>
      <c r="D15" s="3">
        <v>8.99</v>
      </c>
      <c r="F15" s="6">
        <f t="shared" si="1"/>
        <v>1662.644544997486</v>
      </c>
      <c r="G15" s="6">
        <f t="shared" si="2"/>
        <v>1.662644544997486</v>
      </c>
      <c r="H15" s="11">
        <f aca="true" t="shared" si="9" ref="H15:H27">30.31/D15</f>
        <v>3.3715239154616237</v>
      </c>
      <c r="J15" s="9">
        <f t="shared" si="4"/>
        <v>13301.156359979888</v>
      </c>
      <c r="K15" s="6">
        <f t="shared" si="5"/>
        <v>13.301156359979888</v>
      </c>
      <c r="L15" s="9">
        <f t="shared" si="6"/>
        <v>29.429143492769743</v>
      </c>
      <c r="N15" s="3">
        <f t="shared" si="7"/>
        <v>3.608708799516178</v>
      </c>
      <c r="O15" s="9">
        <f t="shared" si="8"/>
        <v>17.796106895414056</v>
      </c>
      <c r="R15" s="3"/>
    </row>
    <row r="16" spans="1:18" ht="12.75">
      <c r="A16" s="1" t="s">
        <v>41</v>
      </c>
      <c r="B16" s="3">
        <v>18.74</v>
      </c>
      <c r="C16" s="11">
        <f t="shared" si="0"/>
        <v>8.500321013799999</v>
      </c>
      <c r="D16" s="3">
        <f aca="true" t="shared" si="10" ref="D16:D23">B16*0.45359237</f>
        <v>8.500321013799999</v>
      </c>
      <c r="F16" s="6">
        <f t="shared" si="1"/>
        <v>1764.674493062967</v>
      </c>
      <c r="G16" s="6">
        <f t="shared" si="2"/>
        <v>1.764674493062967</v>
      </c>
      <c r="H16" s="11">
        <f t="shared" si="9"/>
        <v>3.5657476877394023</v>
      </c>
      <c r="J16" s="9">
        <f t="shared" si="4"/>
        <v>14117.395944503736</v>
      </c>
      <c r="K16" s="6">
        <f t="shared" si="5"/>
        <v>14.117395944503736</v>
      </c>
      <c r="L16" s="9">
        <f t="shared" si="6"/>
        <v>31.12447160177625</v>
      </c>
      <c r="N16" s="3">
        <f t="shared" si="7"/>
        <v>3.4000604777744177</v>
      </c>
      <c r="O16" s="9">
        <f t="shared" si="8"/>
        <v>16.826765451270205</v>
      </c>
      <c r="R16" s="3"/>
    </row>
    <row r="17" spans="1:18" ht="12.75">
      <c r="A17" s="1" t="s">
        <v>35</v>
      </c>
      <c r="B17" s="3">
        <v>19.81</v>
      </c>
      <c r="C17" s="11">
        <f t="shared" si="0"/>
        <v>8.9856648497</v>
      </c>
      <c r="D17" s="3">
        <f t="shared" si="10"/>
        <v>8.9856648497</v>
      </c>
      <c r="F17" s="6">
        <f t="shared" si="1"/>
        <v>1669.3589096415953</v>
      </c>
      <c r="G17" s="6">
        <f t="shared" si="2"/>
        <v>1.6693589096415953</v>
      </c>
      <c r="H17" s="11">
        <f t="shared" si="9"/>
        <v>3.3731505132880564</v>
      </c>
      <c r="J17" s="9">
        <f t="shared" si="4"/>
        <v>13354.871277132763</v>
      </c>
      <c r="K17" s="6">
        <f t="shared" si="5"/>
        <v>13.354871277132762</v>
      </c>
      <c r="L17" s="9">
        <f t="shared" si="6"/>
        <v>29.443341636410246</v>
      </c>
      <c r="N17" s="3">
        <f t="shared" si="7"/>
        <v>3.594194133655881</v>
      </c>
      <c r="O17" s="9">
        <f t="shared" si="8"/>
        <v>17.787525271593534</v>
      </c>
      <c r="R17" s="3"/>
    </row>
    <row r="18" spans="1:18" ht="12.75">
      <c r="A18" s="1" t="s">
        <v>47</v>
      </c>
      <c r="B18" s="3">
        <v>22.02</v>
      </c>
      <c r="C18" s="11">
        <f t="shared" si="0"/>
        <v>9.9881039874</v>
      </c>
      <c r="D18" s="3">
        <f t="shared" si="10"/>
        <v>9.9881039874</v>
      </c>
      <c r="F18" s="6">
        <f t="shared" si="1"/>
        <v>1501.8165304268848</v>
      </c>
      <c r="G18" s="6">
        <f t="shared" si="2"/>
        <v>1.5018165304268847</v>
      </c>
      <c r="H18" s="11">
        <f t="shared" si="9"/>
        <v>3.0346099758508807</v>
      </c>
      <c r="J18" s="9">
        <f t="shared" si="4"/>
        <v>12014.532243415077</v>
      </c>
      <c r="K18" s="6">
        <f t="shared" si="5"/>
        <v>12.014532243415077</v>
      </c>
      <c r="L18" s="9">
        <f t="shared" si="6"/>
        <v>26.488310527578875</v>
      </c>
      <c r="N18" s="3">
        <f t="shared" si="7"/>
        <v>3.995161778046568</v>
      </c>
      <c r="O18" s="9">
        <f t="shared" si="8"/>
        <v>19.77189835842956</v>
      </c>
      <c r="R18" s="3"/>
    </row>
    <row r="19" spans="1:18" ht="12.75">
      <c r="A19" s="1" t="s">
        <v>60</v>
      </c>
      <c r="B19" s="3">
        <v>21.21</v>
      </c>
      <c r="C19" s="11">
        <f t="shared" si="0"/>
        <v>9.620694167700002</v>
      </c>
      <c r="D19" s="3">
        <f t="shared" si="10"/>
        <v>9.620694167700002</v>
      </c>
      <c r="F19" s="6">
        <f t="shared" si="1"/>
        <v>1559.170202734559</v>
      </c>
      <c r="G19" s="6">
        <f t="shared" si="2"/>
        <v>1.559170202734559</v>
      </c>
      <c r="H19" s="11">
        <f t="shared" si="9"/>
        <v>3.150500314391154</v>
      </c>
      <c r="J19" s="9">
        <f t="shared" si="4"/>
        <v>12473.361621876473</v>
      </c>
      <c r="K19" s="6">
        <f t="shared" si="5"/>
        <v>12.473361621876473</v>
      </c>
      <c r="L19" s="9">
        <f t="shared" si="6"/>
        <v>27.499886742917813</v>
      </c>
      <c r="N19" s="3">
        <f t="shared" si="7"/>
        <v>3.8482007862110676</v>
      </c>
      <c r="O19" s="9">
        <f t="shared" si="8"/>
        <v>19.044594195381066</v>
      </c>
      <c r="R19" s="3"/>
    </row>
    <row r="20" spans="1:18" ht="12.75">
      <c r="A20" s="1" t="s">
        <v>61</v>
      </c>
      <c r="B20" s="3">
        <v>16.91</v>
      </c>
      <c r="C20" s="11">
        <f t="shared" si="0"/>
        <v>7.6702469767000006</v>
      </c>
      <c r="D20" s="3">
        <f t="shared" si="10"/>
        <v>7.6702469767000006</v>
      </c>
      <c r="F20" s="6">
        <f t="shared" si="1"/>
        <v>1955.6475458308691</v>
      </c>
      <c r="G20" s="6">
        <f t="shared" si="2"/>
        <v>1.9556475458308693</v>
      </c>
      <c r="H20" s="11">
        <f t="shared" si="9"/>
        <v>3.9516328603333166</v>
      </c>
      <c r="J20" s="9">
        <f t="shared" si="4"/>
        <v>15645.180366646955</v>
      </c>
      <c r="K20" s="6">
        <f t="shared" si="5"/>
        <v>15.645180366646954</v>
      </c>
      <c r="L20" s="9">
        <f t="shared" si="6"/>
        <v>34.49276155040135</v>
      </c>
      <c r="N20" s="3">
        <f t="shared" si="7"/>
        <v>3.0680374962201395</v>
      </c>
      <c r="O20" s="9">
        <f t="shared" si="8"/>
        <v>15.183596786605083</v>
      </c>
      <c r="R20" s="3"/>
    </row>
    <row r="21" spans="1:18" ht="12.75">
      <c r="A21" s="1" t="s">
        <v>63</v>
      </c>
      <c r="B21" s="3">
        <v>16.91</v>
      </c>
      <c r="C21" s="11">
        <f t="shared" si="0"/>
        <v>7.6702469767000006</v>
      </c>
      <c r="D21" s="3">
        <f t="shared" si="10"/>
        <v>7.6702469767000006</v>
      </c>
      <c r="F21" s="6">
        <f t="shared" si="1"/>
        <v>1955.6475458308691</v>
      </c>
      <c r="G21" s="6">
        <f t="shared" si="2"/>
        <v>1.9556475458308693</v>
      </c>
      <c r="H21" s="11">
        <f t="shared" si="9"/>
        <v>3.9516328603333166</v>
      </c>
      <c r="J21" s="9">
        <f t="shared" si="4"/>
        <v>15645.180366646955</v>
      </c>
      <c r="K21" s="6">
        <f t="shared" si="5"/>
        <v>15.645180366646954</v>
      </c>
      <c r="L21" s="9">
        <f t="shared" si="6"/>
        <v>34.49276155040135</v>
      </c>
      <c r="N21" s="3">
        <f t="shared" si="7"/>
        <v>3.0680374962201395</v>
      </c>
      <c r="O21" s="9">
        <f t="shared" si="8"/>
        <v>15.183596786605083</v>
      </c>
      <c r="R21" s="3"/>
    </row>
    <row r="22" spans="1:18" ht="12.75">
      <c r="A22" s="1" t="s">
        <v>89</v>
      </c>
      <c r="B22" s="3">
        <v>80</v>
      </c>
      <c r="C22" s="11">
        <f t="shared" si="0"/>
        <v>36.287389600000004</v>
      </c>
      <c r="D22" s="3">
        <f t="shared" si="10"/>
        <v>36.287389600000004</v>
      </c>
      <c r="F22" s="6">
        <f t="shared" si="1"/>
        <v>413.375</v>
      </c>
      <c r="G22" s="6">
        <f t="shared" si="2"/>
        <v>0.413375</v>
      </c>
      <c r="H22" s="11">
        <f t="shared" si="9"/>
        <v>0.8352763958529548</v>
      </c>
      <c r="J22" s="9">
        <f t="shared" si="4"/>
        <v>3307</v>
      </c>
      <c r="K22" s="6">
        <f t="shared" si="5"/>
        <v>3.307</v>
      </c>
      <c r="L22" s="9">
        <f t="shared" si="6"/>
        <v>7.290907472716085</v>
      </c>
      <c r="N22" s="3">
        <f t="shared" si="7"/>
        <v>14.51466586029634</v>
      </c>
      <c r="O22" s="9">
        <f t="shared" si="8"/>
        <v>71.83250993071594</v>
      </c>
      <c r="R22" s="3"/>
    </row>
    <row r="23" spans="1:18" ht="12.75">
      <c r="A23" s="1" t="s">
        <v>101</v>
      </c>
      <c r="B23" s="3">
        <v>48.75</v>
      </c>
      <c r="C23" s="11">
        <f t="shared" si="0"/>
        <v>22.112628037500002</v>
      </c>
      <c r="D23" s="3">
        <f t="shared" si="10"/>
        <v>22.112628037500002</v>
      </c>
      <c r="F23" s="6">
        <f t="shared" si="1"/>
        <v>678.3589743589744</v>
      </c>
      <c r="G23" s="6">
        <f t="shared" si="2"/>
        <v>0.6783589743589744</v>
      </c>
      <c r="H23" s="11">
        <f t="shared" si="9"/>
        <v>1.3707099829381824</v>
      </c>
      <c r="J23" s="9">
        <f t="shared" si="4"/>
        <v>5426.871794871795</v>
      </c>
      <c r="K23" s="6">
        <f t="shared" si="5"/>
        <v>5.426871794871795</v>
      </c>
      <c r="L23" s="9">
        <f t="shared" si="6"/>
        <v>11.96456610907255</v>
      </c>
      <c r="N23" s="3">
        <f t="shared" si="7"/>
        <v>8.844874508618082</v>
      </c>
      <c r="O23" s="9">
        <f t="shared" si="8"/>
        <v>43.772935739030025</v>
      </c>
      <c r="R23" s="3"/>
    </row>
    <row r="24" spans="1:18" ht="12.75">
      <c r="A24" s="1" t="s">
        <v>102</v>
      </c>
      <c r="B24" s="3">
        <v>73.95</v>
      </c>
      <c r="C24" s="11">
        <f t="shared" si="0"/>
        <v>33.5431557615</v>
      </c>
      <c r="D24" s="3">
        <v>33.41</v>
      </c>
      <c r="F24" s="6">
        <f t="shared" si="1"/>
        <v>447.1940500338066</v>
      </c>
      <c r="G24" s="6">
        <f t="shared" si="2"/>
        <v>0.44719405003380663</v>
      </c>
      <c r="H24" s="11">
        <f t="shared" si="9"/>
        <v>0.9072134091589346</v>
      </c>
      <c r="J24" s="9">
        <f t="shared" si="4"/>
        <v>3577.552400270453</v>
      </c>
      <c r="K24" s="6">
        <f t="shared" si="5"/>
        <v>3.577552400270453</v>
      </c>
      <c r="L24" s="9">
        <f t="shared" si="6"/>
        <v>7.918826698593236</v>
      </c>
      <c r="N24" s="3">
        <f t="shared" si="7"/>
        <v>13.416994254611431</v>
      </c>
      <c r="O24" s="9">
        <f t="shared" si="8"/>
        <v>66.13658858462553</v>
      </c>
      <c r="R24" s="3"/>
    </row>
    <row r="25" spans="1:18" ht="12.75">
      <c r="A25" s="1" t="s">
        <v>106</v>
      </c>
      <c r="B25" s="3">
        <v>24.23</v>
      </c>
      <c r="C25" s="11">
        <f t="shared" si="0"/>
        <v>10.9905431251</v>
      </c>
      <c r="D25" s="3">
        <f>B25*0.45359237</f>
        <v>10.9905431251</v>
      </c>
      <c r="F25" s="6">
        <f t="shared" si="1"/>
        <v>1364.8369789517126</v>
      </c>
      <c r="G25" s="6">
        <f t="shared" si="2"/>
        <v>1.3648369789517127</v>
      </c>
      <c r="H25" s="11">
        <f t="shared" si="9"/>
        <v>2.7578254918793395</v>
      </c>
      <c r="J25" s="9">
        <f t="shared" si="4"/>
        <v>10918.695831613702</v>
      </c>
      <c r="K25" s="6">
        <f t="shared" si="5"/>
        <v>10.918695831613702</v>
      </c>
      <c r="L25" s="9">
        <f t="shared" si="6"/>
        <v>24.072331729974696</v>
      </c>
      <c r="N25" s="3">
        <f t="shared" si="7"/>
        <v>4.396129422437255</v>
      </c>
      <c r="O25" s="9">
        <f t="shared" si="8"/>
        <v>21.75627144526559</v>
      </c>
      <c r="R25" s="3"/>
    </row>
    <row r="26" spans="1:18" ht="12.75">
      <c r="A26" s="1" t="s">
        <v>120</v>
      </c>
      <c r="B26" s="3">
        <v>3750</v>
      </c>
      <c r="C26" s="11">
        <f t="shared" si="0"/>
        <v>1700.9713875</v>
      </c>
      <c r="D26" s="3">
        <f>B26*0.45359237</f>
        <v>1700.9713875</v>
      </c>
      <c r="F26" s="6">
        <f t="shared" si="1"/>
        <v>8.818666666666667</v>
      </c>
      <c r="G26" s="6">
        <f t="shared" si="2"/>
        <v>0.008818666666666667</v>
      </c>
      <c r="H26" s="11">
        <f t="shared" si="9"/>
        <v>0.01781922977819637</v>
      </c>
      <c r="J26" s="9">
        <f t="shared" si="4"/>
        <v>70.54933333333334</v>
      </c>
      <c r="K26" s="6">
        <f t="shared" si="5"/>
        <v>0.07054933333333334</v>
      </c>
      <c r="L26" s="9">
        <f t="shared" si="6"/>
        <v>0.15553935941794317</v>
      </c>
      <c r="N26" s="3">
        <f t="shared" si="7"/>
        <v>680.374962201391</v>
      </c>
      <c r="O26" s="9">
        <f t="shared" si="8"/>
        <v>3367.14890300231</v>
      </c>
      <c r="R26" s="3"/>
    </row>
    <row r="27" spans="1:18" ht="12.75">
      <c r="A27" s="1" t="s">
        <v>141</v>
      </c>
      <c r="B27" s="3">
        <v>19.82</v>
      </c>
      <c r="C27" s="11">
        <f t="shared" si="0"/>
        <v>8.9902007734</v>
      </c>
      <c r="D27" s="3">
        <f>B27*0.45359237</f>
        <v>8.9902007734</v>
      </c>
      <c r="F27" s="6">
        <f t="shared" si="1"/>
        <v>1668.5166498486376</v>
      </c>
      <c r="G27" s="6">
        <f t="shared" si="2"/>
        <v>1.6685166498486377</v>
      </c>
      <c r="H27" s="11">
        <f t="shared" si="9"/>
        <v>3.371448621000827</v>
      </c>
      <c r="J27" s="9">
        <f t="shared" si="4"/>
        <v>13348.133198789103</v>
      </c>
      <c r="K27" s="6">
        <f t="shared" si="5"/>
        <v>13.348133198789101</v>
      </c>
      <c r="L27" s="9">
        <f t="shared" si="6"/>
        <v>29.428486267269772</v>
      </c>
      <c r="N27" s="3">
        <f t="shared" si="7"/>
        <v>3.5960084668884185</v>
      </c>
      <c r="O27" s="9">
        <f t="shared" si="8"/>
        <v>17.796504335334873</v>
      </c>
      <c r="R27" s="3"/>
    </row>
    <row r="28" spans="1:15" ht="12.75">
      <c r="A28" s="1"/>
      <c r="B28" s="3"/>
      <c r="D28" s="3"/>
      <c r="F28" s="6"/>
      <c r="G28" s="6"/>
      <c r="H28" s="11"/>
      <c r="J28" s="9"/>
      <c r="L28" s="9"/>
      <c r="N28" s="3"/>
      <c r="O28" s="9"/>
    </row>
    <row r="29" spans="1:15" ht="12.75">
      <c r="A29" s="1" t="s">
        <v>108</v>
      </c>
      <c r="B29" s="3">
        <v>90</v>
      </c>
      <c r="C29" s="11">
        <f>B29*0.45359237</f>
        <v>40.8233133</v>
      </c>
      <c r="D29" s="3">
        <f>B29*0.45359237</f>
        <v>40.8233133</v>
      </c>
      <c r="F29" s="6">
        <f>33.07/(B29/1000)</f>
        <v>367.44444444444446</v>
      </c>
      <c r="G29" s="6">
        <f>33.07/B29</f>
        <v>0.36744444444444446</v>
      </c>
      <c r="H29" s="11">
        <f>30.31/D29</f>
        <v>0.7424679074248488</v>
      </c>
      <c r="J29" s="9">
        <f>1000*(8*33.07)/B29</f>
        <v>2939.5555555555557</v>
      </c>
      <c r="K29" s="6">
        <f>(8*33.07)/B29</f>
        <v>2.9395555555555557</v>
      </c>
      <c r="L29" s="9">
        <f>(8*33.071)/D29</f>
        <v>6.480806642414298</v>
      </c>
      <c r="N29" s="3">
        <f>(100/F29)*60</f>
        <v>16.32899909283338</v>
      </c>
      <c r="O29" s="9">
        <f>(1/H29)*60</f>
        <v>80.81157367205543</v>
      </c>
    </row>
    <row r="30" spans="1:15" ht="12.75">
      <c r="A30" s="1" t="s">
        <v>144</v>
      </c>
      <c r="B30" s="3">
        <v>44.06</v>
      </c>
      <c r="C30" s="11">
        <f>B30*0.45359237</f>
        <v>19.985279822200003</v>
      </c>
      <c r="D30" s="3">
        <f>B30*0.45359237</f>
        <v>19.985279822200003</v>
      </c>
      <c r="F30" s="6">
        <f>33.07/(B30/1000)</f>
        <v>750.567408079891</v>
      </c>
      <c r="G30" s="6">
        <f>33.07/B30</f>
        <v>0.750567408079891</v>
      </c>
      <c r="H30" s="11">
        <f>30.31/D30</f>
        <v>1.5166162430375938</v>
      </c>
      <c r="J30" s="9">
        <f>1000*(8*33.07)/B30</f>
        <v>6004.539264639128</v>
      </c>
      <c r="K30" s="6">
        <f>(8*33.07)/B30</f>
        <v>6.004539264639128</v>
      </c>
      <c r="L30" s="9">
        <f>(8*33.071)/D30</f>
        <v>13.238143391223032</v>
      </c>
      <c r="N30" s="3">
        <f>(100/F30)*60</f>
        <v>7.993952222558209</v>
      </c>
      <c r="O30" s="9">
        <f>(1/H30)*60</f>
        <v>39.561754844341806</v>
      </c>
    </row>
    <row r="31" spans="1:15" ht="12.75">
      <c r="A31" s="1" t="s">
        <v>28</v>
      </c>
      <c r="B31" s="3">
        <v>2.45</v>
      </c>
      <c r="C31" s="11">
        <f>B31*0.45359237</f>
        <v>1.1113013065000001</v>
      </c>
      <c r="D31" s="3">
        <f>B31*0.45359237</f>
        <v>1.1113013065000001</v>
      </c>
      <c r="F31" s="6">
        <f>33.07/(B31/1000)</f>
        <v>13497.959183673467</v>
      </c>
      <c r="G31" s="6">
        <f>33.07/B31</f>
        <v>13.49795918367347</v>
      </c>
      <c r="H31" s="11">
        <f>30.31/D31</f>
        <v>27.274331293157708</v>
      </c>
      <c r="J31" s="9">
        <f>1000*(8*33.07)/B31</f>
        <v>107983.67346938775</v>
      </c>
      <c r="K31" s="6">
        <f>(8*33.07)/B31</f>
        <v>107.98367346938775</v>
      </c>
      <c r="L31" s="9">
        <f>(8*33.071)/D31</f>
        <v>238.0704480886885</v>
      </c>
      <c r="N31" s="3">
        <f>(100/F31)*60</f>
        <v>0.44451164197157556</v>
      </c>
      <c r="O31" s="9">
        <f>(1/H31)*60</f>
        <v>2.199870616628176</v>
      </c>
    </row>
    <row r="32" spans="1:15" ht="12.75">
      <c r="A32" s="1" t="s">
        <v>119</v>
      </c>
      <c r="B32" s="3">
        <v>2.85</v>
      </c>
      <c r="C32" s="11">
        <f>B32*0.45359237</f>
        <v>1.2927382545000001</v>
      </c>
      <c r="D32" s="3">
        <f>B32*0.45359237</f>
        <v>1.2927382545000001</v>
      </c>
      <c r="F32" s="6">
        <f>33.07/(B32/1000)</f>
        <v>11603.508771929824</v>
      </c>
      <c r="G32" s="6">
        <f>33.07/B32</f>
        <v>11.603508771929825</v>
      </c>
      <c r="H32" s="11">
        <f>30.31/D32</f>
        <v>23.446354971311013</v>
      </c>
      <c r="J32" s="9">
        <f>1000*(8*33.07)/B32</f>
        <v>92828.0701754386</v>
      </c>
      <c r="K32" s="6">
        <f>(8*33.07)/B32</f>
        <v>92.8280701754386</v>
      </c>
      <c r="L32" s="9">
        <f>(8*33.071)/D32</f>
        <v>204.65705186571466</v>
      </c>
      <c r="N32" s="3">
        <f>(100/F32)*60</f>
        <v>0.5170849712730572</v>
      </c>
      <c r="O32" s="9">
        <f>(1/H32)*60</f>
        <v>2.559033166281756</v>
      </c>
    </row>
    <row r="33" spans="1:15" ht="12.75">
      <c r="A33" s="1" t="s">
        <v>125</v>
      </c>
      <c r="B33">
        <v>1.96</v>
      </c>
      <c r="C33" s="11">
        <f>B33*0.45359237</f>
        <v>0.8890410452</v>
      </c>
      <c r="D33" s="3">
        <f>B33*0.45359237</f>
        <v>0.8890410452</v>
      </c>
      <c r="F33" s="6">
        <f>33.07/(B33/1000)</f>
        <v>16872.448979591838</v>
      </c>
      <c r="G33" s="6">
        <f>33.07/B33</f>
        <v>16.872448979591837</v>
      </c>
      <c r="H33" s="11">
        <f>30.31/D33</f>
        <v>34.09291411644714</v>
      </c>
      <c r="J33" s="9">
        <f>1000*(8*33.07)/B33</f>
        <v>134979.5918367347</v>
      </c>
      <c r="K33" s="6">
        <f>(8*33.07)/B33</f>
        <v>134.9795918367347</v>
      </c>
      <c r="L33" s="9">
        <f>(8*33.071)/D33</f>
        <v>297.5880601108606</v>
      </c>
      <c r="N33" s="3">
        <f>(100/F33)*60</f>
        <v>0.35560931357726033</v>
      </c>
      <c r="O33" s="9">
        <f>(1/H33)*60</f>
        <v>1.7598964933025405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T3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9" sqref="L9"/>
    </sheetView>
  </sheetViews>
  <sheetFormatPr defaultColWidth="9.140625" defaultRowHeight="12.75"/>
  <cols>
    <col min="1" max="1" width="17.57421875" style="0" customWidth="1"/>
    <col min="2" max="3" width="15.8515625" style="9" customWidth="1"/>
    <col min="4" max="4" width="9.140625" style="11" customWidth="1"/>
    <col min="6" max="8" width="13.28125" style="0" customWidth="1"/>
    <col min="10" max="10" width="21.140625" style="0" customWidth="1"/>
    <col min="11" max="12" width="21.140625" style="6" customWidth="1"/>
    <col min="13" max="13" width="21.140625" style="0" customWidth="1"/>
    <col min="15" max="15" width="15.421875" style="0" customWidth="1"/>
    <col min="16" max="16" width="8.7109375" style="0" customWidth="1"/>
    <col min="18" max="18" width="9.7109375" style="6" customWidth="1"/>
    <col min="19" max="19" width="8.421875" style="3" customWidth="1"/>
  </cols>
  <sheetData>
    <row r="1" spans="3:13" ht="12.75">
      <c r="C1" s="1" t="s">
        <v>46</v>
      </c>
      <c r="D1" s="7"/>
      <c r="E1" s="3"/>
      <c r="H1" s="6"/>
      <c r="M1" s="9"/>
    </row>
    <row r="3" spans="1:19" ht="12.75">
      <c r="A3" s="4" t="s">
        <v>58</v>
      </c>
      <c r="B3" s="4" t="s">
        <v>97</v>
      </c>
      <c r="C3" s="4" t="s">
        <v>97</v>
      </c>
      <c r="D3" s="4" t="s">
        <v>97</v>
      </c>
      <c r="F3" s="8" t="s">
        <v>32</v>
      </c>
      <c r="G3" s="8" t="s">
        <v>32</v>
      </c>
      <c r="H3" s="8" t="s">
        <v>32</v>
      </c>
      <c r="J3" s="10" t="s">
        <v>32</v>
      </c>
      <c r="K3" s="8" t="s">
        <v>32</v>
      </c>
      <c r="L3" s="8" t="s">
        <v>32</v>
      </c>
      <c r="M3" s="10" t="s">
        <v>32</v>
      </c>
      <c r="O3" s="4" t="s">
        <v>95</v>
      </c>
      <c r="P3" s="4" t="s">
        <v>95</v>
      </c>
      <c r="S3" s="4"/>
    </row>
    <row r="4" spans="1:19" ht="12.75">
      <c r="A4" s="2"/>
      <c r="F4" s="8" t="s">
        <v>67</v>
      </c>
      <c r="G4" s="8" t="s">
        <v>67</v>
      </c>
      <c r="H4" s="8" t="s">
        <v>67</v>
      </c>
      <c r="J4" s="10" t="s">
        <v>15</v>
      </c>
      <c r="K4" s="8" t="s">
        <v>15</v>
      </c>
      <c r="L4" s="8" t="s">
        <v>15</v>
      </c>
      <c r="M4" s="10" t="s">
        <v>15</v>
      </c>
      <c r="O4" s="4" t="s">
        <v>24</v>
      </c>
      <c r="P4" s="4" t="s">
        <v>24</v>
      </c>
      <c r="S4" s="4"/>
    </row>
    <row r="5" spans="1:20" ht="12.75">
      <c r="A5" s="1" t="s">
        <v>91</v>
      </c>
      <c r="B5" s="10" t="s">
        <v>118</v>
      </c>
      <c r="C5" s="10" t="s">
        <v>118</v>
      </c>
      <c r="D5" s="7" t="s">
        <v>114</v>
      </c>
      <c r="E5" s="5"/>
      <c r="F5" s="8" t="s">
        <v>5</v>
      </c>
      <c r="G5" s="8" t="s">
        <v>5</v>
      </c>
      <c r="H5" s="8" t="s">
        <v>5</v>
      </c>
      <c r="I5" s="5"/>
      <c r="J5" s="10" t="s">
        <v>149</v>
      </c>
      <c r="K5" s="8" t="s">
        <v>149</v>
      </c>
      <c r="L5" s="8" t="s">
        <v>149</v>
      </c>
      <c r="M5" s="10" t="s">
        <v>149</v>
      </c>
      <c r="O5" s="4" t="s">
        <v>128</v>
      </c>
      <c r="P5" s="10" t="s">
        <v>128</v>
      </c>
      <c r="S5" s="4"/>
      <c r="T5" s="4"/>
    </row>
    <row r="6" spans="1:20" ht="12.75">
      <c r="A6" s="1"/>
      <c r="B6" s="10" t="s">
        <v>12</v>
      </c>
      <c r="C6" s="10" t="s">
        <v>81</v>
      </c>
      <c r="D6" s="7" t="s">
        <v>112</v>
      </c>
      <c r="F6" s="8" t="s">
        <v>65</v>
      </c>
      <c r="G6" s="8" t="s">
        <v>79</v>
      </c>
      <c r="H6" s="7" t="s">
        <v>85</v>
      </c>
      <c r="J6" s="10" t="s">
        <v>64</v>
      </c>
      <c r="K6" s="8" t="s">
        <v>82</v>
      </c>
      <c r="L6" s="8" t="s">
        <v>113</v>
      </c>
      <c r="M6" s="8" t="s">
        <v>113</v>
      </c>
      <c r="O6" s="4" t="s">
        <v>11</v>
      </c>
      <c r="P6" s="10" t="s">
        <v>83</v>
      </c>
      <c r="S6" s="4"/>
      <c r="T6" s="4"/>
    </row>
    <row r="7" spans="1:20" ht="12.75">
      <c r="A7" s="1"/>
      <c r="C7" s="10"/>
      <c r="F7" s="6"/>
      <c r="G7" s="6"/>
      <c r="H7" s="11"/>
      <c r="J7" s="9"/>
      <c r="M7" s="6"/>
      <c r="O7" s="3"/>
      <c r="P7" s="9"/>
      <c r="T7" s="3"/>
    </row>
    <row r="8" spans="1:16" ht="12.75">
      <c r="A8" s="1"/>
      <c r="C8" s="10"/>
      <c r="F8" s="6"/>
      <c r="G8" s="6"/>
      <c r="H8" s="11"/>
      <c r="J8" s="9"/>
      <c r="M8" s="11"/>
      <c r="O8" s="3"/>
      <c r="P8" s="9"/>
    </row>
    <row r="9" spans="1:18" ht="12.75">
      <c r="A9" s="1" t="s">
        <v>14</v>
      </c>
      <c r="B9" s="9">
        <v>1.89</v>
      </c>
      <c r="C9" s="9">
        <f aca="true" t="shared" si="0" ref="C9:C38">B9*10</f>
        <v>18.9</v>
      </c>
      <c r="D9" s="11">
        <f aca="true" t="shared" si="1" ref="D9:D38">C9*0.45359237</f>
        <v>8.572895792999999</v>
      </c>
      <c r="F9" s="6">
        <f aca="true" t="shared" si="2" ref="F9:F38">35.39/(C9/1000)</f>
        <v>1872.4867724867725</v>
      </c>
      <c r="G9" s="6">
        <f aca="true" t="shared" si="3" ref="G9:G38">35.39/C9</f>
        <v>1.8724867724867726</v>
      </c>
      <c r="H9" s="11">
        <f aca="true" t="shared" si="4" ref="H9:H38">35.39/D9</f>
        <v>4.128126697736941</v>
      </c>
      <c r="J9" s="9">
        <f aca="true" t="shared" si="5" ref="J9:J38">1000*(8*35.39)/C9</f>
        <v>14979.894179894181</v>
      </c>
      <c r="K9" s="6">
        <f aca="true" t="shared" si="6" ref="K9:K38">(8*35.39)/C9</f>
        <v>14.979894179894181</v>
      </c>
      <c r="L9" s="6">
        <f aca="true" t="shared" si="7" ref="L9:L38">K9/0.45359237</f>
        <v>33.02501358189553</v>
      </c>
      <c r="M9" s="9">
        <f aca="true" t="shared" si="8" ref="M9:M38">(8*35.39)/D9</f>
        <v>33.02501358189553</v>
      </c>
      <c r="O9" s="3">
        <f aca="true" t="shared" si="9" ref="O9:O38">(100/F9)*60</f>
        <v>3.2042949985871716</v>
      </c>
      <c r="P9" s="9">
        <f aca="true" t="shared" si="10" ref="P9:P38">(1/H9)*60</f>
        <v>14.534437625883017</v>
      </c>
      <c r="Q9" s="9"/>
      <c r="R9" s="6">
        <f aca="true" t="shared" si="11" ref="R9:R38">(453.5937/100)*O9</f>
        <v>14.5344802430065</v>
      </c>
    </row>
    <row r="10" spans="1:20" ht="12.75">
      <c r="A10" s="1" t="s">
        <v>18</v>
      </c>
      <c r="B10">
        <v>1.33</v>
      </c>
      <c r="C10" s="9">
        <f t="shared" si="0"/>
        <v>13.3</v>
      </c>
      <c r="D10" s="11">
        <f t="shared" si="1"/>
        <v>6.032778521000001</v>
      </c>
      <c r="F10" s="6">
        <f t="shared" si="2"/>
        <v>2660.902255639098</v>
      </c>
      <c r="G10" s="6">
        <f t="shared" si="3"/>
        <v>2.6609022556390975</v>
      </c>
      <c r="H10" s="11">
        <f t="shared" si="4"/>
        <v>5.866285307310388</v>
      </c>
      <c r="J10" s="9">
        <f t="shared" si="5"/>
        <v>21287.218045112782</v>
      </c>
      <c r="K10" s="6">
        <f t="shared" si="6"/>
        <v>21.28721804511278</v>
      </c>
      <c r="L10" s="6">
        <f t="shared" si="7"/>
        <v>46.930282458483106</v>
      </c>
      <c r="M10" s="9">
        <f t="shared" si="8"/>
        <v>46.930282458483106</v>
      </c>
      <c r="O10" s="3">
        <f t="shared" si="9"/>
        <v>2.2548742582650467</v>
      </c>
      <c r="P10" s="9">
        <f t="shared" si="10"/>
        <v>10.227937588584346</v>
      </c>
      <c r="Q10" s="9"/>
      <c r="R10" s="6">
        <f t="shared" si="11"/>
        <v>10.227967578411983</v>
      </c>
      <c r="T10" s="3"/>
    </row>
    <row r="11" spans="1:20" ht="12.75">
      <c r="A11" s="1" t="s">
        <v>26</v>
      </c>
      <c r="B11" s="9">
        <v>2.15</v>
      </c>
      <c r="C11" s="9">
        <f t="shared" si="0"/>
        <v>21.5</v>
      </c>
      <c r="D11" s="11">
        <f t="shared" si="1"/>
        <v>9.752235955</v>
      </c>
      <c r="F11" s="6">
        <f t="shared" si="2"/>
        <v>1646.0465116279072</v>
      </c>
      <c r="G11" s="6">
        <f t="shared" si="3"/>
        <v>1.646046511627907</v>
      </c>
      <c r="H11" s="11">
        <f t="shared" si="4"/>
        <v>3.628911376150148</v>
      </c>
      <c r="J11" s="9">
        <f t="shared" si="5"/>
        <v>13168.372093023256</v>
      </c>
      <c r="K11" s="6">
        <f t="shared" si="6"/>
        <v>13.168372093023256</v>
      </c>
      <c r="L11" s="6">
        <f t="shared" si="7"/>
        <v>29.03129100920118</v>
      </c>
      <c r="M11" s="9">
        <f t="shared" si="8"/>
        <v>29.031291009201183</v>
      </c>
      <c r="O11" s="3">
        <f t="shared" si="9"/>
        <v>3.6450974851653006</v>
      </c>
      <c r="P11" s="9">
        <f t="shared" si="10"/>
        <v>16.533884071771688</v>
      </c>
      <c r="Q11" s="9"/>
      <c r="R11" s="6">
        <f t="shared" si="11"/>
        <v>16.533932551568242</v>
      </c>
      <c r="T11" s="3"/>
    </row>
    <row r="12" spans="1:20" ht="12.75">
      <c r="A12" s="1" t="s">
        <v>31</v>
      </c>
      <c r="B12" s="9">
        <v>6.07</v>
      </c>
      <c r="C12" s="9">
        <f t="shared" si="0"/>
        <v>60.7</v>
      </c>
      <c r="D12" s="11">
        <f t="shared" si="1"/>
        <v>27.533056859000002</v>
      </c>
      <c r="F12" s="6">
        <f t="shared" si="2"/>
        <v>583.0313014827018</v>
      </c>
      <c r="G12" s="6">
        <f t="shared" si="3"/>
        <v>0.5830313014827018</v>
      </c>
      <c r="H12" s="11">
        <f t="shared" si="4"/>
        <v>1.2853639964946981</v>
      </c>
      <c r="J12" s="9">
        <f t="shared" si="5"/>
        <v>4664.250411861614</v>
      </c>
      <c r="K12" s="6">
        <f t="shared" si="6"/>
        <v>4.664250411861614</v>
      </c>
      <c r="L12" s="6">
        <f t="shared" si="7"/>
        <v>10.282911971957583</v>
      </c>
      <c r="M12" s="9">
        <f t="shared" si="8"/>
        <v>10.282911971957585</v>
      </c>
      <c r="O12" s="3">
        <f t="shared" si="9"/>
        <v>10.291042667420175</v>
      </c>
      <c r="P12" s="9">
        <f t="shared" si="10"/>
        <v>46.67938433286239</v>
      </c>
      <c r="Q12" s="9"/>
      <c r="R12" s="6">
        <f t="shared" si="11"/>
        <v>46.67952120372987</v>
      </c>
      <c r="T12" s="3"/>
    </row>
    <row r="13" spans="1:20" ht="12.75">
      <c r="A13" s="1" t="s">
        <v>39</v>
      </c>
      <c r="B13" s="9">
        <v>2.09</v>
      </c>
      <c r="C13" s="9">
        <f t="shared" si="0"/>
        <v>20.9</v>
      </c>
      <c r="D13" s="11">
        <f t="shared" si="1"/>
        <v>9.480080533</v>
      </c>
      <c r="F13" s="6">
        <f t="shared" si="2"/>
        <v>1693.3014354066988</v>
      </c>
      <c r="G13" s="6">
        <f t="shared" si="3"/>
        <v>1.6933014354066986</v>
      </c>
      <c r="H13" s="11">
        <f t="shared" si="4"/>
        <v>3.733090650106611</v>
      </c>
      <c r="J13" s="9">
        <f t="shared" si="5"/>
        <v>13546.411483253589</v>
      </c>
      <c r="K13" s="6">
        <f t="shared" si="6"/>
        <v>13.54641148325359</v>
      </c>
      <c r="L13" s="6">
        <f t="shared" si="7"/>
        <v>29.86472520085289</v>
      </c>
      <c r="M13" s="9">
        <f t="shared" si="8"/>
        <v>29.864725200852888</v>
      </c>
      <c r="O13" s="3">
        <f t="shared" si="9"/>
        <v>3.5433738344165016</v>
      </c>
      <c r="P13" s="9">
        <f t="shared" si="10"/>
        <v>16.072473353489688</v>
      </c>
      <c r="Q13" s="9"/>
      <c r="R13" s="6">
        <f t="shared" si="11"/>
        <v>16.072520480361685</v>
      </c>
      <c r="T13" s="3"/>
    </row>
    <row r="14" spans="1:20" ht="12.75">
      <c r="A14" s="1" t="s">
        <v>40</v>
      </c>
      <c r="B14" s="9">
        <v>1.87</v>
      </c>
      <c r="C14" s="9">
        <f t="shared" si="0"/>
        <v>18.700000000000003</v>
      </c>
      <c r="D14" s="11">
        <f t="shared" si="1"/>
        <v>8.482177319000002</v>
      </c>
      <c r="F14" s="6">
        <f t="shared" si="2"/>
        <v>1892.5133689839572</v>
      </c>
      <c r="G14" s="6">
        <f t="shared" si="3"/>
        <v>1.892513368983957</v>
      </c>
      <c r="H14" s="11">
        <f t="shared" si="4"/>
        <v>4.172277785413271</v>
      </c>
      <c r="J14" s="9">
        <f t="shared" si="5"/>
        <v>15140.106951871656</v>
      </c>
      <c r="K14" s="6">
        <f t="shared" si="6"/>
        <v>15.140106951871656</v>
      </c>
      <c r="L14" s="6">
        <f t="shared" si="7"/>
        <v>33.378222283306165</v>
      </c>
      <c r="M14" s="9">
        <f t="shared" si="8"/>
        <v>33.378222283306165</v>
      </c>
      <c r="O14" s="3">
        <f t="shared" si="9"/>
        <v>3.170387115004239</v>
      </c>
      <c r="P14" s="9">
        <f t="shared" si="10"/>
        <v>14.380634053122353</v>
      </c>
      <c r="Q14" s="9"/>
      <c r="R14" s="6">
        <f t="shared" si="11"/>
        <v>14.380676219270985</v>
      </c>
      <c r="T14" s="3"/>
    </row>
    <row r="15" spans="1:20" ht="12.75">
      <c r="A15" s="1" t="s">
        <v>37</v>
      </c>
      <c r="B15" s="9">
        <v>0.77</v>
      </c>
      <c r="C15" s="9">
        <f t="shared" si="0"/>
        <v>7.7</v>
      </c>
      <c r="D15" s="11">
        <f t="shared" si="1"/>
        <v>3.492661249</v>
      </c>
      <c r="F15" s="6">
        <f t="shared" si="2"/>
        <v>4596.103896103896</v>
      </c>
      <c r="G15" s="6">
        <f t="shared" si="3"/>
        <v>4.596103896103896</v>
      </c>
      <c r="H15" s="11">
        <f t="shared" si="4"/>
        <v>10.132674621717944</v>
      </c>
      <c r="J15" s="9">
        <f t="shared" si="5"/>
        <v>36768.831168831166</v>
      </c>
      <c r="K15" s="6">
        <f t="shared" si="6"/>
        <v>36.76883116883117</v>
      </c>
      <c r="L15" s="6">
        <f t="shared" si="7"/>
        <v>81.06139697374356</v>
      </c>
      <c r="M15" s="9">
        <f t="shared" si="8"/>
        <v>81.06139697374356</v>
      </c>
      <c r="O15" s="3">
        <f t="shared" si="9"/>
        <v>1.3054535179429219</v>
      </c>
      <c r="P15" s="9">
        <f t="shared" si="10"/>
        <v>5.921437551285674</v>
      </c>
      <c r="Q15" s="9"/>
      <c r="R15" s="6">
        <f t="shared" si="11"/>
        <v>5.921454913817464</v>
      </c>
      <c r="T15" s="3"/>
    </row>
    <row r="16" spans="1:20" ht="12.75">
      <c r="A16" s="1" t="s">
        <v>43</v>
      </c>
      <c r="B16" s="9">
        <v>1.31</v>
      </c>
      <c r="C16" s="9">
        <f t="shared" si="0"/>
        <v>13.100000000000001</v>
      </c>
      <c r="D16" s="11">
        <f t="shared" si="1"/>
        <v>5.942060047000001</v>
      </c>
      <c r="F16" s="6">
        <f t="shared" si="2"/>
        <v>2701.5267175572517</v>
      </c>
      <c r="G16" s="6">
        <f t="shared" si="3"/>
        <v>2.7015267175572517</v>
      </c>
      <c r="H16" s="11">
        <f t="shared" si="4"/>
        <v>5.955846915055585</v>
      </c>
      <c r="J16" s="9">
        <f t="shared" si="5"/>
        <v>21612.213740458013</v>
      </c>
      <c r="K16" s="6">
        <f t="shared" si="6"/>
        <v>21.612213740458014</v>
      </c>
      <c r="L16" s="6">
        <f t="shared" si="7"/>
        <v>47.64677532044468</v>
      </c>
      <c r="M16" s="9">
        <f t="shared" si="8"/>
        <v>47.64677532044468</v>
      </c>
      <c r="O16" s="3">
        <f t="shared" si="9"/>
        <v>2.220966374682114</v>
      </c>
      <c r="P16" s="9">
        <f t="shared" si="10"/>
        <v>10.07413401582368</v>
      </c>
      <c r="Q16" s="9"/>
      <c r="R16" s="6">
        <f t="shared" si="11"/>
        <v>10.074163554676465</v>
      </c>
      <c r="T16" s="3"/>
    </row>
    <row r="17" spans="1:20" ht="12.75">
      <c r="A17" s="1" t="s">
        <v>42</v>
      </c>
      <c r="B17" s="9">
        <v>0.68</v>
      </c>
      <c r="C17" s="9">
        <f t="shared" si="0"/>
        <v>6.800000000000001</v>
      </c>
      <c r="D17" s="11">
        <f t="shared" si="1"/>
        <v>3.0844281160000007</v>
      </c>
      <c r="F17" s="6">
        <f t="shared" si="2"/>
        <v>5204.411764705882</v>
      </c>
      <c r="G17" s="6">
        <f t="shared" si="3"/>
        <v>5.204411764705882</v>
      </c>
      <c r="H17" s="11">
        <f t="shared" si="4"/>
        <v>11.473763909886495</v>
      </c>
      <c r="J17" s="9">
        <f t="shared" si="5"/>
        <v>41635.294117647056</v>
      </c>
      <c r="K17" s="6">
        <f t="shared" si="6"/>
        <v>41.63529411764706</v>
      </c>
      <c r="L17" s="6">
        <f t="shared" si="7"/>
        <v>91.79011127909196</v>
      </c>
      <c r="M17" s="9">
        <f t="shared" si="8"/>
        <v>91.79011127909196</v>
      </c>
      <c r="O17" s="3">
        <f t="shared" si="9"/>
        <v>1.1528680418197232</v>
      </c>
      <c r="P17" s="9">
        <f t="shared" si="10"/>
        <v>5.229321473862674</v>
      </c>
      <c r="Q17" s="9"/>
      <c r="R17" s="6">
        <f t="shared" si="11"/>
        <v>5.2293368070076305</v>
      </c>
      <c r="T17" s="3"/>
    </row>
    <row r="18" spans="1:20" ht="12.75">
      <c r="A18" s="1" t="s">
        <v>35</v>
      </c>
      <c r="B18" s="9">
        <v>1.1300000000000001</v>
      </c>
      <c r="C18" s="9">
        <f t="shared" si="0"/>
        <v>11.3</v>
      </c>
      <c r="D18" s="11">
        <f t="shared" si="1"/>
        <v>5.125593781000001</v>
      </c>
      <c r="F18" s="6">
        <f t="shared" si="2"/>
        <v>3131.858407079646</v>
      </c>
      <c r="G18" s="6">
        <f t="shared" si="3"/>
        <v>3.131858407079646</v>
      </c>
      <c r="H18" s="11">
        <f t="shared" si="4"/>
        <v>6.904565892675059</v>
      </c>
      <c r="J18" s="9">
        <f t="shared" si="5"/>
        <v>25054.867256637168</v>
      </c>
      <c r="K18" s="6">
        <f t="shared" si="6"/>
        <v>25.054867256637166</v>
      </c>
      <c r="L18" s="6">
        <f t="shared" si="7"/>
        <v>55.23652714140047</v>
      </c>
      <c r="M18" s="9">
        <f t="shared" si="8"/>
        <v>55.23652714140047</v>
      </c>
      <c r="O18" s="3">
        <f t="shared" si="9"/>
        <v>1.915795422435716</v>
      </c>
      <c r="P18" s="9">
        <f t="shared" si="10"/>
        <v>8.68990186097768</v>
      </c>
      <c r="Q18" s="9"/>
      <c r="R18" s="6">
        <f t="shared" si="11"/>
        <v>8.689927341056796</v>
      </c>
      <c r="T18" s="3"/>
    </row>
    <row r="19" spans="1:20" ht="12.75">
      <c r="A19" s="1" t="s">
        <v>34</v>
      </c>
      <c r="B19" s="9">
        <v>0.9</v>
      </c>
      <c r="C19" s="9">
        <f t="shared" si="0"/>
        <v>9</v>
      </c>
      <c r="D19" s="11">
        <f t="shared" si="1"/>
        <v>4.082331330000001</v>
      </c>
      <c r="F19" s="6">
        <f t="shared" si="2"/>
        <v>3932.2222222222226</v>
      </c>
      <c r="G19" s="6">
        <f t="shared" si="3"/>
        <v>3.9322222222222223</v>
      </c>
      <c r="H19" s="11">
        <f t="shared" si="4"/>
        <v>8.669066065247574</v>
      </c>
      <c r="J19" s="9">
        <f t="shared" si="5"/>
        <v>31457.777777777777</v>
      </c>
      <c r="K19" s="6">
        <f t="shared" si="6"/>
        <v>31.45777777777778</v>
      </c>
      <c r="L19" s="6">
        <f t="shared" si="7"/>
        <v>69.3525285219806</v>
      </c>
      <c r="M19" s="9">
        <f t="shared" si="8"/>
        <v>69.35252852198059</v>
      </c>
      <c r="O19" s="3">
        <f t="shared" si="9"/>
        <v>1.5258547612319864</v>
      </c>
      <c r="P19" s="9">
        <f t="shared" si="10"/>
        <v>6.921160774230009</v>
      </c>
      <c r="Q19" s="9"/>
      <c r="R19" s="6">
        <f t="shared" si="11"/>
        <v>6.921181068098333</v>
      </c>
      <c r="T19" s="3"/>
    </row>
    <row r="20" spans="1:20" ht="12.75">
      <c r="A20" s="1" t="s">
        <v>49</v>
      </c>
      <c r="B20" s="9">
        <v>1.24</v>
      </c>
      <c r="C20" s="9">
        <f t="shared" si="0"/>
        <v>12.4</v>
      </c>
      <c r="D20" s="11">
        <f t="shared" si="1"/>
        <v>5.6245453880000005</v>
      </c>
      <c r="F20" s="6">
        <f t="shared" si="2"/>
        <v>2854.032258064516</v>
      </c>
      <c r="G20" s="6">
        <f t="shared" si="3"/>
        <v>2.854032258064516</v>
      </c>
      <c r="H20" s="11">
        <f t="shared" si="4"/>
        <v>6.292064079615175</v>
      </c>
      <c r="J20" s="9">
        <f t="shared" si="5"/>
        <v>22832.25806451613</v>
      </c>
      <c r="K20" s="6">
        <f t="shared" si="6"/>
        <v>22.83225806451613</v>
      </c>
      <c r="L20" s="6">
        <f t="shared" si="7"/>
        <v>50.3365126369214</v>
      </c>
      <c r="M20" s="9">
        <f t="shared" si="8"/>
        <v>50.3365126369214</v>
      </c>
      <c r="O20" s="3">
        <f t="shared" si="9"/>
        <v>2.102288782141848</v>
      </c>
      <c r="P20" s="9">
        <f t="shared" si="10"/>
        <v>9.535821511161346</v>
      </c>
      <c r="Q20" s="9"/>
      <c r="R20" s="6">
        <f t="shared" si="11"/>
        <v>9.535849471602148</v>
      </c>
      <c r="T20" s="3"/>
    </row>
    <row r="21" spans="1:20" ht="12.75">
      <c r="A21" s="1" t="s">
        <v>48</v>
      </c>
      <c r="B21" s="9">
        <v>1.35</v>
      </c>
      <c r="C21" s="9">
        <f t="shared" si="0"/>
        <v>13.5</v>
      </c>
      <c r="D21" s="11">
        <f t="shared" si="1"/>
        <v>6.123496995</v>
      </c>
      <c r="F21" s="6">
        <f t="shared" si="2"/>
        <v>2621.4814814814818</v>
      </c>
      <c r="G21" s="6">
        <f t="shared" si="3"/>
        <v>2.6214814814814815</v>
      </c>
      <c r="H21" s="11">
        <f t="shared" si="4"/>
        <v>5.779377376831717</v>
      </c>
      <c r="J21" s="9">
        <f t="shared" si="5"/>
        <v>20971.85185185185</v>
      </c>
      <c r="K21" s="6">
        <f t="shared" si="6"/>
        <v>20.971851851851852</v>
      </c>
      <c r="L21" s="6">
        <f t="shared" si="7"/>
        <v>46.23501901465373</v>
      </c>
      <c r="M21" s="9">
        <f t="shared" si="8"/>
        <v>46.23501901465374</v>
      </c>
      <c r="O21" s="3">
        <f t="shared" si="9"/>
        <v>2.288782141847979</v>
      </c>
      <c r="P21" s="9">
        <f t="shared" si="10"/>
        <v>10.381741161345012</v>
      </c>
      <c r="Q21" s="9"/>
      <c r="R21" s="6">
        <f t="shared" si="11"/>
        <v>10.381771602147497</v>
      </c>
      <c r="T21" s="3"/>
    </row>
    <row r="22" spans="1:20" ht="12.75">
      <c r="A22" s="1" t="s">
        <v>61</v>
      </c>
      <c r="B22" s="9">
        <v>0.68</v>
      </c>
      <c r="C22" s="9">
        <f t="shared" si="0"/>
        <v>6.800000000000001</v>
      </c>
      <c r="D22" s="11">
        <f t="shared" si="1"/>
        <v>3.0844281160000007</v>
      </c>
      <c r="F22" s="6">
        <f t="shared" si="2"/>
        <v>5204.411764705882</v>
      </c>
      <c r="G22" s="6">
        <f t="shared" si="3"/>
        <v>5.204411764705882</v>
      </c>
      <c r="H22" s="11">
        <f t="shared" si="4"/>
        <v>11.473763909886495</v>
      </c>
      <c r="J22" s="9">
        <f t="shared" si="5"/>
        <v>41635.294117647056</v>
      </c>
      <c r="K22" s="6">
        <f t="shared" si="6"/>
        <v>41.63529411764706</v>
      </c>
      <c r="L22" s="6">
        <f t="shared" si="7"/>
        <v>91.79011127909196</v>
      </c>
      <c r="M22" s="9">
        <f t="shared" si="8"/>
        <v>91.79011127909196</v>
      </c>
      <c r="O22" s="3">
        <f t="shared" si="9"/>
        <v>1.1528680418197232</v>
      </c>
      <c r="P22" s="9">
        <f t="shared" si="10"/>
        <v>5.229321473862674</v>
      </c>
      <c r="Q22" s="9"/>
      <c r="R22" s="6">
        <f t="shared" si="11"/>
        <v>5.2293368070076305</v>
      </c>
      <c r="T22" s="3"/>
    </row>
    <row r="23" spans="1:20" ht="12.75">
      <c r="A23" s="1" t="s">
        <v>62</v>
      </c>
      <c r="B23" s="9">
        <v>1.19</v>
      </c>
      <c r="C23" s="9">
        <f t="shared" si="0"/>
        <v>11.899999999999999</v>
      </c>
      <c r="D23" s="11">
        <f t="shared" si="1"/>
        <v>5.397749203</v>
      </c>
      <c r="F23" s="6">
        <f t="shared" si="2"/>
        <v>2973.949579831933</v>
      </c>
      <c r="G23" s="6">
        <f t="shared" si="3"/>
        <v>2.9739495798319333</v>
      </c>
      <c r="H23" s="11">
        <f t="shared" si="4"/>
        <v>6.556436519935141</v>
      </c>
      <c r="J23" s="9">
        <f t="shared" si="5"/>
        <v>23791.596638655465</v>
      </c>
      <c r="K23" s="6">
        <f t="shared" si="6"/>
        <v>23.791596638655466</v>
      </c>
      <c r="L23" s="6">
        <f t="shared" si="7"/>
        <v>52.451492159481134</v>
      </c>
      <c r="M23" s="9">
        <f t="shared" si="8"/>
        <v>52.45149215948113</v>
      </c>
      <c r="O23" s="3">
        <f t="shared" si="9"/>
        <v>2.0175190731845154</v>
      </c>
      <c r="P23" s="9">
        <f t="shared" si="10"/>
        <v>9.151312579259677</v>
      </c>
      <c r="Q23" s="9"/>
      <c r="R23" s="6">
        <f t="shared" si="11"/>
        <v>9.151339412263352</v>
      </c>
      <c r="T23" s="3"/>
    </row>
    <row r="24" spans="1:20" ht="12.75">
      <c r="A24" s="1" t="s">
        <v>63</v>
      </c>
      <c r="B24" s="9">
        <v>2.0100000000000002</v>
      </c>
      <c r="C24" s="9">
        <f t="shared" si="0"/>
        <v>20.1</v>
      </c>
      <c r="D24" s="11">
        <f t="shared" si="1"/>
        <v>9.117206637</v>
      </c>
      <c r="F24" s="6">
        <f t="shared" si="2"/>
        <v>1760.6965174129355</v>
      </c>
      <c r="G24" s="6">
        <f t="shared" si="3"/>
        <v>1.7606965174129352</v>
      </c>
      <c r="H24" s="11">
        <f t="shared" si="4"/>
        <v>3.881671372498914</v>
      </c>
      <c r="J24" s="9">
        <f t="shared" si="5"/>
        <v>14085.572139303482</v>
      </c>
      <c r="K24" s="6">
        <f t="shared" si="6"/>
        <v>14.085572139303482</v>
      </c>
      <c r="L24" s="6">
        <f t="shared" si="7"/>
        <v>31.05337097999131</v>
      </c>
      <c r="M24" s="9">
        <f t="shared" si="8"/>
        <v>31.05337097999131</v>
      </c>
      <c r="O24" s="3">
        <f t="shared" si="9"/>
        <v>3.4077423000847693</v>
      </c>
      <c r="P24" s="9">
        <f t="shared" si="10"/>
        <v>15.45725906244702</v>
      </c>
      <c r="Q24" s="9"/>
      <c r="R24" s="6">
        <f t="shared" si="11"/>
        <v>15.45730438541961</v>
      </c>
      <c r="T24" s="3"/>
    </row>
    <row r="25" spans="1:20" ht="12.75">
      <c r="A25" s="1" t="s">
        <v>89</v>
      </c>
      <c r="B25" s="9">
        <v>8</v>
      </c>
      <c r="C25" s="9">
        <f t="shared" si="0"/>
        <v>80</v>
      </c>
      <c r="D25" s="11">
        <f t="shared" si="1"/>
        <v>36.287389600000004</v>
      </c>
      <c r="F25" s="6">
        <f t="shared" si="2"/>
        <v>442.375</v>
      </c>
      <c r="G25" s="6">
        <f t="shared" si="3"/>
        <v>0.442375</v>
      </c>
      <c r="H25" s="11">
        <f t="shared" si="4"/>
        <v>0.9752699323403521</v>
      </c>
      <c r="J25" s="9">
        <f t="shared" si="5"/>
        <v>3539</v>
      </c>
      <c r="K25" s="6">
        <f t="shared" si="6"/>
        <v>3.539</v>
      </c>
      <c r="L25" s="6">
        <f t="shared" si="7"/>
        <v>7.802159458722818</v>
      </c>
      <c r="M25" s="9">
        <f t="shared" si="8"/>
        <v>7.802159458722817</v>
      </c>
      <c r="O25" s="3">
        <f t="shared" si="9"/>
        <v>13.563153433173213</v>
      </c>
      <c r="P25" s="9">
        <f t="shared" si="10"/>
        <v>61.521429104266744</v>
      </c>
      <c r="Q25" s="9"/>
      <c r="R25" s="6">
        <f t="shared" si="11"/>
        <v>61.52160949420741</v>
      </c>
      <c r="T25" s="3"/>
    </row>
    <row r="26" spans="1:20" ht="12.75">
      <c r="A26" s="1" t="s">
        <v>90</v>
      </c>
      <c r="B26" s="9">
        <v>1.01</v>
      </c>
      <c r="C26" s="9">
        <f t="shared" si="0"/>
        <v>10.1</v>
      </c>
      <c r="D26" s="11">
        <f t="shared" si="1"/>
        <v>4.581282937</v>
      </c>
      <c r="F26" s="6">
        <f t="shared" si="2"/>
        <v>3503.9603960396043</v>
      </c>
      <c r="G26" s="6">
        <f t="shared" si="3"/>
        <v>3.503960396039604</v>
      </c>
      <c r="H26" s="11">
        <f t="shared" si="4"/>
        <v>7.724910355171106</v>
      </c>
      <c r="J26" s="9">
        <f t="shared" si="5"/>
        <v>28031.68316831683</v>
      </c>
      <c r="K26" s="6">
        <f t="shared" si="6"/>
        <v>28.03168316831683</v>
      </c>
      <c r="L26" s="6">
        <f t="shared" si="7"/>
        <v>61.79928284136885</v>
      </c>
      <c r="M26" s="9">
        <f t="shared" si="8"/>
        <v>61.79928284136885</v>
      </c>
      <c r="O26" s="3">
        <f t="shared" si="9"/>
        <v>1.712348120938118</v>
      </c>
      <c r="P26" s="9">
        <f t="shared" si="10"/>
        <v>7.767080424413676</v>
      </c>
      <c r="Q26" s="9"/>
      <c r="R26" s="6">
        <f t="shared" si="11"/>
        <v>7.767103198643685</v>
      </c>
      <c r="T26" s="3"/>
    </row>
    <row r="27" spans="1:20" ht="12.75">
      <c r="A27" s="1" t="s">
        <v>101</v>
      </c>
      <c r="B27" s="9">
        <v>2.76</v>
      </c>
      <c r="C27" s="9">
        <f t="shared" si="0"/>
        <v>27.599999999999998</v>
      </c>
      <c r="D27" s="11">
        <f t="shared" si="1"/>
        <v>12.519149411999999</v>
      </c>
      <c r="F27" s="6">
        <f t="shared" si="2"/>
        <v>1282.2463768115942</v>
      </c>
      <c r="G27" s="6">
        <f t="shared" si="3"/>
        <v>1.2822463768115944</v>
      </c>
      <c r="H27" s="11">
        <f t="shared" si="4"/>
        <v>2.82686936910247</v>
      </c>
      <c r="J27" s="9">
        <f t="shared" si="5"/>
        <v>10257.971014492754</v>
      </c>
      <c r="K27" s="6">
        <f t="shared" si="6"/>
        <v>10.257971014492755</v>
      </c>
      <c r="L27" s="6">
        <f t="shared" si="7"/>
        <v>22.61495495281976</v>
      </c>
      <c r="M27" s="9">
        <f t="shared" si="8"/>
        <v>22.61495495281976</v>
      </c>
      <c r="O27" s="3">
        <f t="shared" si="9"/>
        <v>4.679287934444758</v>
      </c>
      <c r="P27" s="9">
        <f t="shared" si="10"/>
        <v>21.224893040972027</v>
      </c>
      <c r="Q27" s="9"/>
      <c r="R27" s="6">
        <f t="shared" si="11"/>
        <v>21.224955275501557</v>
      </c>
      <c r="T27" s="3"/>
    </row>
    <row r="28" spans="1:20" ht="12.75">
      <c r="A28" s="1" t="s">
        <v>102</v>
      </c>
      <c r="B28" s="9">
        <v>2.76</v>
      </c>
      <c r="C28" s="9">
        <f t="shared" si="0"/>
        <v>27.599999999999998</v>
      </c>
      <c r="D28" s="11">
        <f t="shared" si="1"/>
        <v>12.519149411999999</v>
      </c>
      <c r="F28" s="6">
        <f t="shared" si="2"/>
        <v>1282.2463768115942</v>
      </c>
      <c r="G28" s="6">
        <f t="shared" si="3"/>
        <v>1.2822463768115944</v>
      </c>
      <c r="H28" s="11">
        <f t="shared" si="4"/>
        <v>2.82686936910247</v>
      </c>
      <c r="J28" s="9">
        <f t="shared" si="5"/>
        <v>10257.971014492754</v>
      </c>
      <c r="K28" s="6">
        <f t="shared" si="6"/>
        <v>10.257971014492755</v>
      </c>
      <c r="L28" s="6">
        <f t="shared" si="7"/>
        <v>22.61495495281976</v>
      </c>
      <c r="M28" s="9">
        <f t="shared" si="8"/>
        <v>22.61495495281976</v>
      </c>
      <c r="O28" s="3">
        <f t="shared" si="9"/>
        <v>4.679287934444758</v>
      </c>
      <c r="P28" s="9">
        <f t="shared" si="10"/>
        <v>21.224893040972027</v>
      </c>
      <c r="Q28" s="9"/>
      <c r="R28" s="6">
        <f t="shared" si="11"/>
        <v>21.224955275501557</v>
      </c>
      <c r="T28" s="3"/>
    </row>
    <row r="29" spans="1:20" ht="12.75">
      <c r="A29" s="1" t="s">
        <v>103</v>
      </c>
      <c r="B29" s="9">
        <v>1.33</v>
      </c>
      <c r="C29" s="9">
        <f t="shared" si="0"/>
        <v>13.3</v>
      </c>
      <c r="D29" s="11">
        <f t="shared" si="1"/>
        <v>6.032778521000001</v>
      </c>
      <c r="F29" s="6">
        <f t="shared" si="2"/>
        <v>2660.902255639098</v>
      </c>
      <c r="G29" s="6">
        <f t="shared" si="3"/>
        <v>2.6609022556390975</v>
      </c>
      <c r="H29" s="11">
        <f t="shared" si="4"/>
        <v>5.866285307310388</v>
      </c>
      <c r="J29" s="9">
        <f t="shared" si="5"/>
        <v>21287.218045112782</v>
      </c>
      <c r="K29" s="6">
        <f t="shared" si="6"/>
        <v>21.28721804511278</v>
      </c>
      <c r="L29" s="6">
        <f t="shared" si="7"/>
        <v>46.930282458483106</v>
      </c>
      <c r="M29" s="9">
        <f t="shared" si="8"/>
        <v>46.930282458483106</v>
      </c>
      <c r="O29" s="3">
        <f t="shared" si="9"/>
        <v>2.2548742582650467</v>
      </c>
      <c r="P29" s="9">
        <f t="shared" si="10"/>
        <v>10.227937588584346</v>
      </c>
      <c r="Q29" s="9"/>
      <c r="R29" s="6">
        <f t="shared" si="11"/>
        <v>10.227967578411983</v>
      </c>
      <c r="T29" s="3"/>
    </row>
    <row r="30" spans="1:20" ht="12.75">
      <c r="A30" s="1" t="s">
        <v>105</v>
      </c>
      <c r="B30" s="9">
        <v>1.24</v>
      </c>
      <c r="C30" s="9">
        <f t="shared" si="0"/>
        <v>12.4</v>
      </c>
      <c r="D30" s="11">
        <f t="shared" si="1"/>
        <v>5.6245453880000005</v>
      </c>
      <c r="F30" s="6">
        <f t="shared" si="2"/>
        <v>2854.032258064516</v>
      </c>
      <c r="G30" s="6">
        <f t="shared" si="3"/>
        <v>2.854032258064516</v>
      </c>
      <c r="H30" s="11">
        <f t="shared" si="4"/>
        <v>6.292064079615175</v>
      </c>
      <c r="J30" s="9">
        <f t="shared" si="5"/>
        <v>22832.25806451613</v>
      </c>
      <c r="K30" s="6">
        <f t="shared" si="6"/>
        <v>22.83225806451613</v>
      </c>
      <c r="L30" s="6">
        <f t="shared" si="7"/>
        <v>50.3365126369214</v>
      </c>
      <c r="M30" s="9">
        <f t="shared" si="8"/>
        <v>50.3365126369214</v>
      </c>
      <c r="O30" s="3">
        <f t="shared" si="9"/>
        <v>2.102288782141848</v>
      </c>
      <c r="P30" s="9">
        <f t="shared" si="10"/>
        <v>9.535821511161346</v>
      </c>
      <c r="Q30" s="9"/>
      <c r="R30" s="6">
        <f t="shared" si="11"/>
        <v>9.535849471602148</v>
      </c>
      <c r="T30" s="3"/>
    </row>
    <row r="31" spans="1:20" ht="12.75">
      <c r="A31" s="1" t="s">
        <v>106</v>
      </c>
      <c r="B31" s="9">
        <v>1.89</v>
      </c>
      <c r="C31" s="9">
        <f t="shared" si="0"/>
        <v>18.9</v>
      </c>
      <c r="D31" s="11">
        <f t="shared" si="1"/>
        <v>8.572895792999999</v>
      </c>
      <c r="F31" s="6">
        <f t="shared" si="2"/>
        <v>1872.4867724867725</v>
      </c>
      <c r="G31" s="6">
        <f t="shared" si="3"/>
        <v>1.8724867724867726</v>
      </c>
      <c r="H31" s="11">
        <f t="shared" si="4"/>
        <v>4.128126697736941</v>
      </c>
      <c r="J31" s="9">
        <f t="shared" si="5"/>
        <v>14979.894179894181</v>
      </c>
      <c r="K31" s="6">
        <f t="shared" si="6"/>
        <v>14.979894179894181</v>
      </c>
      <c r="L31" s="6">
        <f t="shared" si="7"/>
        <v>33.02501358189553</v>
      </c>
      <c r="M31" s="9">
        <f t="shared" si="8"/>
        <v>33.02501358189553</v>
      </c>
      <c r="O31" s="3">
        <f t="shared" si="9"/>
        <v>3.2042949985871716</v>
      </c>
      <c r="P31" s="9">
        <f t="shared" si="10"/>
        <v>14.534437625883017</v>
      </c>
      <c r="Q31" s="9"/>
      <c r="R31" s="6">
        <f t="shared" si="11"/>
        <v>14.5344802430065</v>
      </c>
      <c r="T31" s="3"/>
    </row>
    <row r="32" spans="1:20" ht="12.75">
      <c r="A32" s="1" t="s">
        <v>107</v>
      </c>
      <c r="B32" s="9">
        <v>1.42</v>
      </c>
      <c r="C32" s="9">
        <f t="shared" si="0"/>
        <v>14.2</v>
      </c>
      <c r="D32" s="11">
        <f t="shared" si="1"/>
        <v>6.441011654</v>
      </c>
      <c r="F32" s="6">
        <f t="shared" si="2"/>
        <v>2492.253521126761</v>
      </c>
      <c r="G32" s="6">
        <f t="shared" si="3"/>
        <v>2.4922535211267607</v>
      </c>
      <c r="H32" s="11">
        <f t="shared" si="4"/>
        <v>5.494478492058322</v>
      </c>
      <c r="J32" s="9">
        <f t="shared" si="5"/>
        <v>19938.028169014084</v>
      </c>
      <c r="K32" s="6">
        <f t="shared" si="6"/>
        <v>19.938028169014085</v>
      </c>
      <c r="L32" s="6">
        <f t="shared" si="7"/>
        <v>43.95582793646658</v>
      </c>
      <c r="M32" s="9">
        <f t="shared" si="8"/>
        <v>43.95582793646658</v>
      </c>
      <c r="O32" s="3">
        <f t="shared" si="9"/>
        <v>2.4074597343882447</v>
      </c>
      <c r="P32" s="9">
        <f t="shared" si="10"/>
        <v>10.920053666007348</v>
      </c>
      <c r="Q32" s="9"/>
      <c r="R32" s="6">
        <f t="shared" si="11"/>
        <v>10.920085685221812</v>
      </c>
      <c r="T32" s="3"/>
    </row>
    <row r="33" spans="1:20" ht="12.75">
      <c r="A33" s="1" t="s">
        <v>120</v>
      </c>
      <c r="B33" s="9">
        <v>899</v>
      </c>
      <c r="C33" s="9">
        <f t="shared" si="0"/>
        <v>8990</v>
      </c>
      <c r="D33" s="11">
        <f t="shared" si="1"/>
        <v>4077.7954063</v>
      </c>
      <c r="F33" s="6">
        <f t="shared" si="2"/>
        <v>3.9365962180200222</v>
      </c>
      <c r="G33" s="6">
        <f t="shared" si="3"/>
        <v>0.003936596218020023</v>
      </c>
      <c r="H33" s="11">
        <f t="shared" si="4"/>
        <v>0.008678709075331276</v>
      </c>
      <c r="J33" s="9">
        <f t="shared" si="5"/>
        <v>31.492769744160178</v>
      </c>
      <c r="K33" s="6">
        <f t="shared" si="6"/>
        <v>0.03149276974416018</v>
      </c>
      <c r="L33" s="6">
        <f t="shared" si="7"/>
        <v>0.06942967260265022</v>
      </c>
      <c r="M33" s="9">
        <f t="shared" si="8"/>
        <v>0.0694296726026502</v>
      </c>
      <c r="O33" s="3">
        <f t="shared" si="9"/>
        <v>1524.1593670528398</v>
      </c>
      <c r="P33" s="9">
        <f t="shared" si="10"/>
        <v>6913.470595591976</v>
      </c>
      <c r="Q33" s="9"/>
      <c r="R33" s="6">
        <f t="shared" si="11"/>
        <v>6913.4908669115575</v>
      </c>
      <c r="T33" s="3"/>
    </row>
    <row r="34" spans="1:20" ht="12.75">
      <c r="A34" s="1" t="s">
        <v>121</v>
      </c>
      <c r="B34" s="9">
        <v>1.46</v>
      </c>
      <c r="C34" s="9">
        <f t="shared" si="0"/>
        <v>14.6</v>
      </c>
      <c r="D34" s="11">
        <f t="shared" si="1"/>
        <v>6.622448602</v>
      </c>
      <c r="F34" s="6">
        <f t="shared" si="2"/>
        <v>2423.972602739726</v>
      </c>
      <c r="G34" s="6">
        <f t="shared" si="3"/>
        <v>2.423972602739726</v>
      </c>
      <c r="H34" s="11">
        <f t="shared" si="4"/>
        <v>5.343944834741656</v>
      </c>
      <c r="J34" s="9">
        <f t="shared" si="5"/>
        <v>19391.780821917808</v>
      </c>
      <c r="K34" s="6">
        <f t="shared" si="6"/>
        <v>19.39178082191781</v>
      </c>
      <c r="L34" s="6">
        <f t="shared" si="7"/>
        <v>42.75155867793325</v>
      </c>
      <c r="M34" s="9">
        <f t="shared" si="8"/>
        <v>42.75155867793325</v>
      </c>
      <c r="O34" s="3">
        <f t="shared" si="9"/>
        <v>2.4752755015541115</v>
      </c>
      <c r="P34" s="9">
        <f t="shared" si="10"/>
        <v>11.227660811528681</v>
      </c>
      <c r="Q34" s="9"/>
      <c r="R34" s="6">
        <f t="shared" si="11"/>
        <v>11.227693732692853</v>
      </c>
      <c r="T34" s="3"/>
    </row>
    <row r="35" spans="1:20" ht="12.75">
      <c r="A35" s="1" t="s">
        <v>126</v>
      </c>
      <c r="B35" s="9">
        <v>4.14</v>
      </c>
      <c r="C35" s="9">
        <f t="shared" si="0"/>
        <v>41.4</v>
      </c>
      <c r="D35" s="11">
        <f t="shared" si="1"/>
        <v>18.778724118</v>
      </c>
      <c r="F35" s="6">
        <f t="shared" si="2"/>
        <v>854.8309178743962</v>
      </c>
      <c r="G35" s="6">
        <f t="shared" si="3"/>
        <v>0.8548309178743961</v>
      </c>
      <c r="H35" s="11">
        <f t="shared" si="4"/>
        <v>1.8845795794016469</v>
      </c>
      <c r="J35" s="9">
        <f t="shared" si="5"/>
        <v>6838.647342995169</v>
      </c>
      <c r="K35" s="6">
        <f t="shared" si="6"/>
        <v>6.838647342995169</v>
      </c>
      <c r="L35" s="6">
        <f t="shared" si="7"/>
        <v>15.076636635213173</v>
      </c>
      <c r="M35" s="9">
        <f t="shared" si="8"/>
        <v>15.076636635213175</v>
      </c>
      <c r="O35" s="3">
        <f t="shared" si="9"/>
        <v>7.018931901667137</v>
      </c>
      <c r="P35" s="9">
        <f t="shared" si="10"/>
        <v>31.837339561458037</v>
      </c>
      <c r="Q35" s="9"/>
      <c r="R35" s="6">
        <f t="shared" si="11"/>
        <v>31.837432913252332</v>
      </c>
      <c r="T35" s="3"/>
    </row>
    <row r="36" spans="1:20" ht="12.75">
      <c r="A36" s="1" t="s">
        <v>141</v>
      </c>
      <c r="B36" s="9">
        <v>0.9</v>
      </c>
      <c r="C36" s="9">
        <f t="shared" si="0"/>
        <v>9</v>
      </c>
      <c r="D36" s="11">
        <f t="shared" si="1"/>
        <v>4.082331330000001</v>
      </c>
      <c r="F36" s="6">
        <f t="shared" si="2"/>
        <v>3932.2222222222226</v>
      </c>
      <c r="G36" s="6">
        <f t="shared" si="3"/>
        <v>3.9322222222222223</v>
      </c>
      <c r="H36" s="11">
        <f t="shared" si="4"/>
        <v>8.669066065247574</v>
      </c>
      <c r="J36" s="9">
        <f t="shared" si="5"/>
        <v>31457.777777777777</v>
      </c>
      <c r="K36" s="6">
        <f t="shared" si="6"/>
        <v>31.45777777777778</v>
      </c>
      <c r="L36" s="6">
        <f t="shared" si="7"/>
        <v>69.3525285219806</v>
      </c>
      <c r="M36" s="9">
        <f t="shared" si="8"/>
        <v>69.35252852198059</v>
      </c>
      <c r="O36" s="3">
        <f t="shared" si="9"/>
        <v>1.5258547612319864</v>
      </c>
      <c r="P36" s="9">
        <f t="shared" si="10"/>
        <v>6.921160774230009</v>
      </c>
      <c r="Q36" s="9"/>
      <c r="R36" s="6">
        <f t="shared" si="11"/>
        <v>6.921181068098333</v>
      </c>
      <c r="T36" s="3"/>
    </row>
    <row r="37" spans="1:18" ht="12.75">
      <c r="A37" s="1" t="s">
        <v>28</v>
      </c>
      <c r="B37" s="9">
        <v>0.24</v>
      </c>
      <c r="C37" s="9">
        <f t="shared" si="0"/>
        <v>2.4</v>
      </c>
      <c r="D37" s="11">
        <f t="shared" si="1"/>
        <v>1.088621688</v>
      </c>
      <c r="F37" s="6">
        <f t="shared" si="2"/>
        <v>14745.833333333336</v>
      </c>
      <c r="G37" s="6">
        <f t="shared" si="3"/>
        <v>14.745833333333334</v>
      </c>
      <c r="H37" s="11">
        <f t="shared" si="4"/>
        <v>32.50899774467841</v>
      </c>
      <c r="J37" s="9">
        <f t="shared" si="5"/>
        <v>117966.66666666667</v>
      </c>
      <c r="K37" s="6">
        <f t="shared" si="6"/>
        <v>117.96666666666667</v>
      </c>
      <c r="L37" s="6">
        <f t="shared" si="7"/>
        <v>260.0719819574272</v>
      </c>
      <c r="M37" s="9">
        <f t="shared" si="8"/>
        <v>260.0719819574273</v>
      </c>
      <c r="O37" s="3">
        <f t="shared" si="9"/>
        <v>0.4068946029951963</v>
      </c>
      <c r="P37" s="9">
        <f t="shared" si="10"/>
        <v>1.8456428731280021</v>
      </c>
      <c r="Q37" s="9"/>
      <c r="R37" s="6">
        <f t="shared" si="11"/>
        <v>1.845648284826222</v>
      </c>
    </row>
    <row r="38" spans="1:18" ht="12.75">
      <c r="A38" s="1" t="s">
        <v>145</v>
      </c>
      <c r="B38" s="9">
        <v>1.06</v>
      </c>
      <c r="C38" s="9">
        <f t="shared" si="0"/>
        <v>10.600000000000001</v>
      </c>
      <c r="D38" s="11">
        <f t="shared" si="1"/>
        <v>4.8080791220000005</v>
      </c>
      <c r="F38" s="6">
        <f t="shared" si="2"/>
        <v>3338.679245283018</v>
      </c>
      <c r="G38" s="6">
        <f t="shared" si="3"/>
        <v>3.3386792452830183</v>
      </c>
      <c r="H38" s="11">
        <f t="shared" si="4"/>
        <v>7.36052779124794</v>
      </c>
      <c r="J38" s="9">
        <f t="shared" si="5"/>
        <v>26709.43396226415</v>
      </c>
      <c r="K38" s="6">
        <f t="shared" si="6"/>
        <v>26.709433962264146</v>
      </c>
      <c r="L38" s="6">
        <f t="shared" si="7"/>
        <v>58.884222329983515</v>
      </c>
      <c r="M38" s="9">
        <f t="shared" si="8"/>
        <v>58.88422232998352</v>
      </c>
      <c r="O38" s="3">
        <f t="shared" si="9"/>
        <v>1.797117829895451</v>
      </c>
      <c r="P38" s="9">
        <f t="shared" si="10"/>
        <v>8.151589356315343</v>
      </c>
      <c r="Q38" s="9"/>
      <c r="R38" s="6">
        <f t="shared" si="11"/>
        <v>8.151613257982484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created xsi:type="dcterms:W3CDTF">2011-11-24T21:17:05Z</dcterms:created>
  <dcterms:modified xsi:type="dcterms:W3CDTF">2011-11-24T21:17:05Z</dcterms:modified>
  <cp:category/>
  <cp:version/>
  <cp:contentType/>
  <cp:contentStatus/>
</cp:coreProperties>
</file>