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4010" activeTab="0"/>
  </bookViews>
  <sheets>
    <sheet name="EngSilver" sheetId="1" r:id="rId1"/>
    <sheet name="EngGold" sheetId="2" r:id="rId2"/>
    <sheet name="TudorCoinRatesA" sheetId="3" r:id="rId3"/>
    <sheet name="TudorCoinRatesB" sheetId="4" r:id="rId4"/>
    <sheet name="DebasementPrices" sheetId="5" r:id="rId5"/>
    <sheet name="F" sheetId="6" r:id="rId6"/>
    <sheet name="G" sheetId="7" r:id="rId7"/>
  </sheets>
  <definedNames>
    <definedName name="_xlnm.Print_Titles" localSheetId="4">'DebasementPrices'!$A:$A,'DebasementPrices'!$1:$6</definedName>
    <definedName name="_xlnm.Print_Titles" localSheetId="1">'EngGold'!$A:$A,'EngGold'!$1:$6</definedName>
    <definedName name="_xlnm.Print_Titles" localSheetId="0">'EngSilver'!$A:$A,'EngSilver'!$1:$6</definedName>
    <definedName name="_xlnm.Print_Titles" localSheetId="5">'F'!$A:$A,'F'!$1:$6</definedName>
    <definedName name="_xlnm.Print_Titles" localSheetId="2">'TudorCoinRatesA'!$A:$A,'TudorCoinRatesA'!$1:$6</definedName>
    <definedName name="_xlnm.Print_Titles" localSheetId="3">'TudorCoinRatesB'!$A:$A,'TudorCoinRatesB'!$1:$6</definedName>
  </definedNames>
  <calcPr fullCalcOnLoad="1"/>
</workbook>
</file>

<file path=xl/sharedStrings.xml><?xml version="1.0" encoding="utf-8"?>
<sst xmlns="http://schemas.openxmlformats.org/spreadsheetml/2006/main" count="705" uniqueCount="262">
  <si>
    <t/>
  </si>
  <si>
    <t>%</t>
  </si>
  <si>
    <t>Ecu à la couronne</t>
  </si>
  <si>
    <t>Réal d'Or</t>
  </si>
  <si>
    <t>% change</t>
  </si>
  <si>
    <t>06-jul-1525</t>
  </si>
  <si>
    <t>in decimal £</t>
  </si>
  <si>
    <t>in £ sterling</t>
  </si>
  <si>
    <t>0.925 fine</t>
  </si>
  <si>
    <t>£ sterling</t>
  </si>
  <si>
    <t>(240d)</t>
  </si>
  <si>
    <t>= 100</t>
  </si>
  <si>
    <t>0.648 g.</t>
  </si>
  <si>
    <t>05-nov-1526</t>
  </si>
  <si>
    <t>08-jul-1525</t>
  </si>
  <si>
    <t>1 kg fine</t>
  </si>
  <si>
    <t>1257 Aug</t>
  </si>
  <si>
    <t>1257+</t>
  </si>
  <si>
    <t>1279 Dec</t>
  </si>
  <si>
    <t>1335 July *</t>
  </si>
  <si>
    <t>1335*</t>
  </si>
  <si>
    <t>1343 Dec</t>
  </si>
  <si>
    <t>1344 Jul</t>
  </si>
  <si>
    <t>1344 July</t>
  </si>
  <si>
    <t>1345 June</t>
  </si>
  <si>
    <t>1346 Jul</t>
  </si>
  <si>
    <t>1346 July</t>
  </si>
  <si>
    <t>1351 Jul</t>
  </si>
  <si>
    <t>1351-1411</t>
  </si>
  <si>
    <t>1351-1411=</t>
  </si>
  <si>
    <t>1412 Apr</t>
  </si>
  <si>
    <t>1412 April</t>
  </si>
  <si>
    <t>1464 Aug</t>
  </si>
  <si>
    <t>1465 Mar</t>
  </si>
  <si>
    <t>1489 Oct</t>
  </si>
  <si>
    <t>1526 Aug*</t>
  </si>
  <si>
    <t>1526 Nov</t>
  </si>
  <si>
    <t>1526 Nov*</t>
  </si>
  <si>
    <t>1526 Nov**</t>
  </si>
  <si>
    <t>1526*</t>
  </si>
  <si>
    <t>1526**</t>
  </si>
  <si>
    <t>1542 May</t>
  </si>
  <si>
    <t>1544 May</t>
  </si>
  <si>
    <t>1545 Mar</t>
  </si>
  <si>
    <t>1545 March</t>
  </si>
  <si>
    <t>1546 Apr</t>
  </si>
  <si>
    <t xml:space="preserve">1546 Apr </t>
  </si>
  <si>
    <t>1547 Apr</t>
  </si>
  <si>
    <t>1549 Apr</t>
  </si>
  <si>
    <t>1549 Jan</t>
  </si>
  <si>
    <t>1550 Dec</t>
  </si>
  <si>
    <t>1551 Apr</t>
  </si>
  <si>
    <t xml:space="preserve">1551 Dec </t>
  </si>
  <si>
    <t>1551 Oct</t>
  </si>
  <si>
    <t>1553 Aug</t>
  </si>
  <si>
    <t>1553 June</t>
  </si>
  <si>
    <t>1557 June</t>
  </si>
  <si>
    <t>1560 Dec</t>
  </si>
  <si>
    <t>1560 Nov</t>
  </si>
  <si>
    <t>1572 Apr</t>
  </si>
  <si>
    <t>1578 Sept</t>
  </si>
  <si>
    <t>1583 Jan</t>
  </si>
  <si>
    <t>1593 Jun</t>
  </si>
  <si>
    <t>1601 Jul</t>
  </si>
  <si>
    <t>1601 July</t>
  </si>
  <si>
    <t>1604 Nov</t>
  </si>
  <si>
    <t>1605 Jul</t>
  </si>
  <si>
    <t>1612 May</t>
  </si>
  <si>
    <t>1623 July</t>
  </si>
  <si>
    <t>1626 Aug</t>
  </si>
  <si>
    <t>1626 Nov</t>
  </si>
  <si>
    <t>1649 July</t>
  </si>
  <si>
    <t>1660 Jul</t>
  </si>
  <si>
    <t>1686 Jul</t>
  </si>
  <si>
    <t>1703 Jan</t>
  </si>
  <si>
    <t>1718 May</t>
  </si>
  <si>
    <t>1770 Nov</t>
  </si>
  <si>
    <t>1815 Aug</t>
  </si>
  <si>
    <t>1817 Feb.</t>
  </si>
  <si>
    <t>2 years</t>
  </si>
  <si>
    <t xml:space="preserve">20 dwt </t>
  </si>
  <si>
    <t>21s 0d to a Tower pound of 10 oz silver and 2 oz copper = 23s 4d to a Tower pound of sterling fineness</t>
  </si>
  <si>
    <t>22 August 1526</t>
  </si>
  <si>
    <t>22 May 1522</t>
  </si>
  <si>
    <t>22-aug-1526</t>
  </si>
  <si>
    <t>24 carats)</t>
  </si>
  <si>
    <t>24 Nov 1522</t>
  </si>
  <si>
    <t>24-nov-1522</t>
  </si>
  <si>
    <t>25-may-1522</t>
  </si>
  <si>
    <t>349.9133 g.</t>
  </si>
  <si>
    <t>349.9144375 g.</t>
  </si>
  <si>
    <t>373.242 g.</t>
  </si>
  <si>
    <t>373.242 grams</t>
  </si>
  <si>
    <t>5 November 1526</t>
  </si>
  <si>
    <t>5400 Troy</t>
  </si>
  <si>
    <t xml:space="preserve">5400 Troy </t>
  </si>
  <si>
    <t>5760 Troy</t>
  </si>
  <si>
    <t>5760 Troy grains</t>
  </si>
  <si>
    <t>6 July 1525</t>
  </si>
  <si>
    <t>ALTERATIONS OF THE ENGLISH GOLD COINAGE, 1257 - 1815</t>
  </si>
  <si>
    <t>ALTERATIONS OF THE ENGLISH SILVER COINAGE, 1257 - 1817</t>
  </si>
  <si>
    <t>and Florin</t>
  </si>
  <si>
    <t>Angel</t>
  </si>
  <si>
    <t>Angel Noble</t>
  </si>
  <si>
    <t>Angel-Noble</t>
  </si>
  <si>
    <t>Carolus</t>
  </si>
  <si>
    <t>Carolus Florin</t>
  </si>
  <si>
    <t>change</t>
  </si>
  <si>
    <t>Change</t>
  </si>
  <si>
    <t>Change from</t>
  </si>
  <si>
    <t>Coin</t>
  </si>
  <si>
    <t>Coin in</t>
  </si>
  <si>
    <t>coinage</t>
  </si>
  <si>
    <t xml:space="preserve">Consumer Price Index: base 1451-75 = 100 </t>
  </si>
  <si>
    <t>Content of</t>
  </si>
  <si>
    <t>contents</t>
  </si>
  <si>
    <t>Crown</t>
  </si>
  <si>
    <t>Crown of the Rose</t>
  </si>
  <si>
    <t>Crown: Double Rose</t>
  </si>
  <si>
    <t>Crown: Rose</t>
  </si>
  <si>
    <t>Date</t>
  </si>
  <si>
    <t>decimal</t>
  </si>
  <si>
    <t>Double Crown</t>
  </si>
  <si>
    <t>Double Florin</t>
  </si>
  <si>
    <t>Ducat</t>
  </si>
  <si>
    <t>Ecu au</t>
  </si>
  <si>
    <t>Ecu au soleil</t>
  </si>
  <si>
    <t>Ecus</t>
  </si>
  <si>
    <t>English</t>
  </si>
  <si>
    <t>ENGLISH COINS</t>
  </si>
  <si>
    <t>extra</t>
  </si>
  <si>
    <t>Fine</t>
  </si>
  <si>
    <t>Fine-</t>
  </si>
  <si>
    <t>Fine (out of</t>
  </si>
  <si>
    <t>fine gold</t>
  </si>
  <si>
    <t>Fineness</t>
  </si>
  <si>
    <t>Fineness in</t>
  </si>
  <si>
    <t>Fineness:</t>
  </si>
  <si>
    <t>Florins</t>
  </si>
  <si>
    <t>FOREIGN COINS</t>
  </si>
  <si>
    <t>from</t>
  </si>
  <si>
    <t>from 1465</t>
  </si>
  <si>
    <t>General recoinage of the silver at the crown's expense, and without any alteration in the prescribed fineness and weight</t>
  </si>
  <si>
    <t>George</t>
  </si>
  <si>
    <t>Gold</t>
  </si>
  <si>
    <t>gold coin</t>
  </si>
  <si>
    <t>Gold penny</t>
  </si>
  <si>
    <t>Gold:</t>
  </si>
  <si>
    <t>grains</t>
  </si>
  <si>
    <t>grains (12)</t>
  </si>
  <si>
    <t>grains (4):</t>
  </si>
  <si>
    <t>grams</t>
  </si>
  <si>
    <t>Grams</t>
  </si>
  <si>
    <t>Grams of</t>
  </si>
  <si>
    <t>Guinea</t>
  </si>
  <si>
    <t>Half Guinea</t>
  </si>
  <si>
    <t>Half-Crown</t>
  </si>
  <si>
    <t>In 1526, the royal mints switched from the Tower pound of 349.9144 grams to the Troy pound of 373.242 grams</t>
  </si>
  <si>
    <t>In 1526, the royal mints switched from the Tower Pound of 349.9144 grams to the Troy Pound of 373.242 grams</t>
  </si>
  <si>
    <t>in Carats</t>
  </si>
  <si>
    <t>in dwt</t>
  </si>
  <si>
    <t>in grams</t>
  </si>
  <si>
    <t>in pence</t>
  </si>
  <si>
    <t>in penny</t>
  </si>
  <si>
    <t>in shillings</t>
  </si>
  <si>
    <t>in silver</t>
  </si>
  <si>
    <t xml:space="preserve">in the </t>
  </si>
  <si>
    <t>in the pound</t>
  </si>
  <si>
    <t>in the Pound</t>
  </si>
  <si>
    <t>in Troy</t>
  </si>
  <si>
    <t>in Troy grains</t>
  </si>
  <si>
    <t>in value</t>
  </si>
  <si>
    <t>Index in</t>
  </si>
  <si>
    <t>Index of</t>
  </si>
  <si>
    <t>Index:</t>
  </si>
  <si>
    <t>Kilogram</t>
  </si>
  <si>
    <t>Name</t>
  </si>
  <si>
    <t>Name of</t>
  </si>
  <si>
    <t>ness in</t>
  </si>
  <si>
    <t xml:space="preserve">No pence were coined from 1335 to 1344, but only half-pence and farthings: </t>
  </si>
  <si>
    <t>No. Cut to</t>
  </si>
  <si>
    <t>No. of Pence</t>
  </si>
  <si>
    <t>No. of Pence to</t>
  </si>
  <si>
    <t>Noble</t>
  </si>
  <si>
    <t>Nominal</t>
  </si>
  <si>
    <t xml:space="preserve">Nominal </t>
  </si>
  <si>
    <t>Nominal Value</t>
  </si>
  <si>
    <t>Notes:</t>
  </si>
  <si>
    <t>nr</t>
  </si>
  <si>
    <t>of a Tower  lb</t>
  </si>
  <si>
    <t>of a Tower  lb/</t>
  </si>
  <si>
    <t>of given alloy</t>
  </si>
  <si>
    <t>of Penny</t>
  </si>
  <si>
    <t>of Rose</t>
  </si>
  <si>
    <t>of Silver</t>
  </si>
  <si>
    <t xml:space="preserve">of Silver </t>
  </si>
  <si>
    <t>Official English Coinage Rates for Gold Coins in the 1520s</t>
  </si>
  <si>
    <t>Official Value of the Coin in:</t>
  </si>
  <si>
    <t>Other</t>
  </si>
  <si>
    <t>ounces</t>
  </si>
  <si>
    <t>pence</t>
  </si>
  <si>
    <t>per ounce</t>
  </si>
  <si>
    <t>Percent</t>
  </si>
  <si>
    <t>percentage</t>
  </si>
  <si>
    <t>Percentage</t>
  </si>
  <si>
    <t>Pound</t>
  </si>
  <si>
    <t>previous</t>
  </si>
  <si>
    <t xml:space="preserve">Previous </t>
  </si>
  <si>
    <t>Price</t>
  </si>
  <si>
    <t>Pure Gold</t>
  </si>
  <si>
    <t>Pure Silver</t>
  </si>
  <si>
    <t>Quarter Guinea</t>
  </si>
  <si>
    <t>Ratio</t>
  </si>
  <si>
    <t>Ratios</t>
  </si>
  <si>
    <t>Relationships between the debasements of the English</t>
  </si>
  <si>
    <t>Rhenish</t>
  </si>
  <si>
    <t>Rhenish Florin</t>
  </si>
  <si>
    <t>Rose Noble</t>
  </si>
  <si>
    <t>Rose Ryal</t>
  </si>
  <si>
    <t>Royal</t>
  </si>
  <si>
    <t>Ryal, or</t>
  </si>
  <si>
    <t>Ryal, Rose Noble</t>
  </si>
  <si>
    <t>shillings</t>
  </si>
  <si>
    <t>Silver</t>
  </si>
  <si>
    <t xml:space="preserve">Silver </t>
  </si>
  <si>
    <t>silver in</t>
  </si>
  <si>
    <t>Silver in</t>
  </si>
  <si>
    <t>silver penny</t>
  </si>
  <si>
    <t>soleil</t>
  </si>
  <si>
    <t>Sovereign</t>
  </si>
  <si>
    <t>Spur Ryal</t>
  </si>
  <si>
    <t>St. George Noble</t>
  </si>
  <si>
    <t>sterling</t>
  </si>
  <si>
    <t>Sterling</t>
  </si>
  <si>
    <t>Sterling fineness: 11 oz 2 dwt of pure silver and 18 dwt of copper = 92.5% pure silver</t>
  </si>
  <si>
    <t>sterling silver penny and changes in the Consumer Price Index</t>
  </si>
  <si>
    <t>the coin</t>
  </si>
  <si>
    <t>the English</t>
  </si>
  <si>
    <t>The gold penny of Henry III was abortive, did not circulate, because it was so undervalued</t>
  </si>
  <si>
    <t>the pound</t>
  </si>
  <si>
    <t>the Troy Pound</t>
  </si>
  <si>
    <t>Thistle Crown</t>
  </si>
  <si>
    <t>to the Tower</t>
  </si>
  <si>
    <t>total</t>
  </si>
  <si>
    <t>Total in</t>
  </si>
  <si>
    <t>Tower lb.</t>
  </si>
  <si>
    <t>Tower lb./</t>
  </si>
  <si>
    <t>Tower Pound</t>
  </si>
  <si>
    <t>Troy lb.</t>
  </si>
  <si>
    <t>Troy Pound</t>
  </si>
  <si>
    <t>Tudor Coinage Rates</t>
  </si>
  <si>
    <t>Unite</t>
  </si>
  <si>
    <t>Value in</t>
  </si>
  <si>
    <t>Value of</t>
  </si>
  <si>
    <t xml:space="preserve">Value of </t>
  </si>
  <si>
    <t>Value of kg.</t>
  </si>
  <si>
    <t>Values</t>
  </si>
  <si>
    <t>Weight</t>
  </si>
  <si>
    <t>Weight of</t>
  </si>
  <si>
    <t>Year 1</t>
  </si>
  <si>
    <t>Year 3</t>
  </si>
  <si>
    <t>Years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</si>
</sst>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00"/>
    <numFmt numFmtId="167" formatCode="0.000%"/>
    <numFmt numFmtId="168" formatCode="0.000"/>
    <numFmt numFmtId="169" formatCode="0.0000"/>
    <numFmt numFmtId="170" formatCode="0.000000"/>
    <numFmt numFmtId="171" formatCode="#,##0.0000"/>
    <numFmt numFmtId="172" formatCode="0.000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1" applyNumberFormat="0" applyAlignment="0" applyProtection="0"/>
    <xf numFmtId="0" fontId="22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3" fillId="0" borderId="0" applyNumberFormat="0" applyFill="0" applyBorder="0" applyAlignment="0" applyProtection="0"/>
    <xf numFmtId="2" fontId="0" fillId="2" borderId="0">
      <alignment/>
      <protection/>
    </xf>
    <xf numFmtId="0" fontId="24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1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0" fontId="0" fillId="33" borderId="5" applyNumberFormat="0" applyFont="0" applyAlignment="0" applyProtection="0"/>
    <xf numFmtId="0" fontId="29" fillId="28" borderId="6" applyNumberFormat="0" applyAlignment="0" applyProtection="0"/>
    <xf numFmtId="10" fontId="0" fillId="2" borderId="0">
      <alignment/>
      <protection/>
    </xf>
    <xf numFmtId="0" fontId="30" fillId="0" borderId="0" applyNumberFormat="0" applyFill="0" applyBorder="0" applyAlignment="0" applyProtection="0"/>
    <xf numFmtId="0" fontId="0" fillId="2" borderId="7">
      <alignment/>
      <protection/>
    </xf>
    <xf numFmtId="0" fontId="31" fillId="0" borderId="0" applyNumberFormat="0" applyFill="0" applyBorder="0" applyAlignment="0" applyProtection="0"/>
  </cellStyleXfs>
  <cellXfs count="36"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166" fontId="3" fillId="2" borderId="0" xfId="0" applyNumberFormat="1" applyFont="1" applyFill="1" applyAlignment="1">
      <alignment/>
    </xf>
    <xf numFmtId="166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10" fontId="3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0" fontId="3" fillId="2" borderId="0" xfId="0" applyFont="1" applyFill="1" applyAlignment="1">
      <alignment horizontal="left"/>
    </xf>
    <xf numFmtId="167" fontId="0" fillId="2" borderId="0" xfId="0" applyNumberFormat="1" applyFill="1" applyAlignment="1">
      <alignment horizontal="right"/>
    </xf>
    <xf numFmtId="167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2" borderId="0" xfId="0" applyNumberFormat="1" applyFill="1" applyAlignment="1">
      <alignment/>
    </xf>
    <xf numFmtId="167" fontId="3" fillId="2" borderId="0" xfId="0" applyNumberFormat="1" applyFont="1" applyFill="1" applyAlignment="1">
      <alignment horizontal="center"/>
    </xf>
    <xf numFmtId="168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/>
    </xf>
    <xf numFmtId="169" fontId="3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170" fontId="3" fillId="2" borderId="0" xfId="0" applyNumberFormat="1" applyFont="1" applyFill="1" applyAlignment="1">
      <alignment/>
    </xf>
    <xf numFmtId="169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4" fontId="3" fillId="2" borderId="0" xfId="0" applyNumberFormat="1" applyFont="1" applyFill="1" applyAlignment="1">
      <alignment/>
    </xf>
    <xf numFmtId="0" fontId="0" fillId="2" borderId="0" xfId="0" applyFill="1" applyAlignment="1">
      <alignment horizontal="left"/>
    </xf>
    <xf numFmtId="171" fontId="0" fillId="2" borderId="0" xfId="0" applyNumberFormat="1" applyFill="1" applyAlignment="1">
      <alignment/>
    </xf>
    <xf numFmtId="171" fontId="3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71FFFF"/>
      <rgbColor rgb="00FFFF00"/>
      <rgbColor rgb="0000FF00"/>
      <rgbColor rgb="00FF0000"/>
      <rgbColor rgb="000080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V86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1" max="1" width="13.00390625" style="7" customWidth="1"/>
    <col min="2" max="3" width="8.57421875" style="23" customWidth="1"/>
    <col min="4" max="4" width="11.421875" style="8" customWidth="1"/>
    <col min="5" max="5" width="17.140625" style="6" customWidth="1"/>
    <col min="6" max="6" width="17.140625" style="10" customWidth="1"/>
    <col min="7" max="7" width="14.140625" style="10" customWidth="1"/>
    <col min="8" max="8" width="9.421875" style="12" customWidth="1"/>
    <col min="9" max="9" width="11.8515625" style="12" customWidth="1"/>
    <col min="10" max="10" width="11.8515625" style="4" customWidth="1"/>
    <col min="11" max="12" width="11.8515625" style="12" customWidth="1"/>
    <col min="13" max="14" width="14.8515625" style="22" customWidth="1"/>
    <col min="15" max="15" width="14.8515625" style="0" customWidth="1"/>
    <col min="16" max="16" width="7.00390625" style="10" customWidth="1"/>
    <col min="17" max="17" width="12.421875" style="26" customWidth="1"/>
    <col min="18" max="19" width="12.140625" style="12" customWidth="1"/>
    <col min="20" max="20" width="12.57421875" style="10" customWidth="1"/>
    <col min="21" max="21" width="12.421875" style="0" customWidth="1"/>
    <col min="22" max="22" width="7.28125" style="12" customWidth="1"/>
  </cols>
  <sheetData>
    <row r="1" spans="3:20" ht="12.75">
      <c r="C1" s="15" t="s">
        <v>100</v>
      </c>
      <c r="D1" s="9"/>
      <c r="T1" s="1"/>
    </row>
    <row r="3" spans="1:22" ht="12.75">
      <c r="A3" s="7" t="s">
        <v>120</v>
      </c>
      <c r="B3" s="7" t="s">
        <v>132</v>
      </c>
      <c r="C3" s="7" t="s">
        <v>135</v>
      </c>
      <c r="D3" s="13" t="s">
        <v>137</v>
      </c>
      <c r="E3" s="24" t="s">
        <v>181</v>
      </c>
      <c r="F3" s="15" t="s">
        <v>182</v>
      </c>
      <c r="G3" s="14" t="s">
        <v>257</v>
      </c>
      <c r="H3" s="14" t="s">
        <v>257</v>
      </c>
      <c r="I3" s="14" t="s">
        <v>153</v>
      </c>
      <c r="J3" s="5" t="s">
        <v>204</v>
      </c>
      <c r="K3" s="14" t="s">
        <v>153</v>
      </c>
      <c r="L3" s="14" t="s">
        <v>153</v>
      </c>
      <c r="M3" s="19" t="s">
        <v>186</v>
      </c>
      <c r="N3" s="19" t="s">
        <v>186</v>
      </c>
      <c r="O3" s="19" t="s">
        <v>186</v>
      </c>
      <c r="P3" s="15"/>
      <c r="Q3" s="27" t="s">
        <v>184</v>
      </c>
      <c r="R3" s="14" t="s">
        <v>184</v>
      </c>
      <c r="S3" s="5" t="s">
        <v>204</v>
      </c>
      <c r="T3" s="15" t="s">
        <v>174</v>
      </c>
      <c r="U3" s="14" t="s">
        <v>184</v>
      </c>
      <c r="V3" s="14" t="s">
        <v>147</v>
      </c>
    </row>
    <row r="4" spans="2:22" ht="12.75">
      <c r="B4" s="7" t="s">
        <v>178</v>
      </c>
      <c r="C4" s="7" t="s">
        <v>160</v>
      </c>
      <c r="D4" s="13"/>
      <c r="E4" s="24" t="s">
        <v>242</v>
      </c>
      <c r="F4" s="15" t="s">
        <v>240</v>
      </c>
      <c r="G4" s="14" t="s">
        <v>192</v>
      </c>
      <c r="H4" s="14" t="s">
        <v>192</v>
      </c>
      <c r="I4" s="14" t="s">
        <v>210</v>
      </c>
      <c r="J4" s="5" t="s">
        <v>107</v>
      </c>
      <c r="K4" s="14" t="s">
        <v>210</v>
      </c>
      <c r="L4" s="14" t="s">
        <v>233</v>
      </c>
      <c r="M4" s="19" t="s">
        <v>190</v>
      </c>
      <c r="N4" s="19" t="s">
        <v>189</v>
      </c>
      <c r="O4" s="19" t="s">
        <v>189</v>
      </c>
      <c r="P4" s="15"/>
      <c r="Q4" s="27" t="s">
        <v>254</v>
      </c>
      <c r="R4" s="14" t="s">
        <v>255</v>
      </c>
      <c r="S4" s="5" t="s">
        <v>107</v>
      </c>
      <c r="T4" s="15" t="s">
        <v>28</v>
      </c>
      <c r="U4" s="14" t="s">
        <v>255</v>
      </c>
      <c r="V4" s="14" t="s">
        <v>224</v>
      </c>
    </row>
    <row r="5" spans="2:22" ht="12.75">
      <c r="B5" s="7" t="s">
        <v>199</v>
      </c>
      <c r="C5" s="7" t="s">
        <v>80</v>
      </c>
      <c r="D5" s="13" t="s">
        <v>203</v>
      </c>
      <c r="E5" s="24" t="s">
        <v>205</v>
      </c>
      <c r="F5" s="15" t="s">
        <v>92</v>
      </c>
      <c r="G5" s="14" t="s">
        <v>170</v>
      </c>
      <c r="H5" s="14" t="s">
        <v>161</v>
      </c>
      <c r="I5" s="14" t="s">
        <v>163</v>
      </c>
      <c r="J5" s="5" t="s">
        <v>165</v>
      </c>
      <c r="K5" s="14" t="s">
        <v>167</v>
      </c>
      <c r="L5" s="14" t="s">
        <v>226</v>
      </c>
      <c r="M5" s="1" t="s">
        <v>248</v>
      </c>
      <c r="N5" s="1" t="s">
        <v>248</v>
      </c>
      <c r="O5" s="1" t="s">
        <v>248</v>
      </c>
      <c r="P5" s="15"/>
      <c r="Q5" s="27" t="s">
        <v>246</v>
      </c>
      <c r="R5" s="14" t="s">
        <v>210</v>
      </c>
      <c r="S5" s="5" t="s">
        <v>171</v>
      </c>
      <c r="T5" s="1" t="s">
        <v>11</v>
      </c>
      <c r="U5" s="14" t="s">
        <v>209</v>
      </c>
      <c r="V5" s="14" t="s">
        <v>212</v>
      </c>
    </row>
    <row r="6" spans="2:21" ht="12.75">
      <c r="B6" s="7"/>
      <c r="C6" s="7" t="s">
        <v>201</v>
      </c>
      <c r="D6" s="13"/>
      <c r="E6" s="24" t="s">
        <v>89</v>
      </c>
      <c r="F6" s="15" t="s">
        <v>97</v>
      </c>
      <c r="G6" s="21" t="s">
        <v>12</v>
      </c>
      <c r="H6" s="14"/>
      <c r="I6" s="14"/>
      <c r="J6" s="5" t="s">
        <v>115</v>
      </c>
      <c r="K6" s="14" t="s">
        <v>232</v>
      </c>
      <c r="L6" s="14" t="s">
        <v>239</v>
      </c>
      <c r="M6" s="19" t="s">
        <v>194</v>
      </c>
      <c r="N6" s="19" t="s">
        <v>195</v>
      </c>
      <c r="O6" s="19" t="s">
        <v>195</v>
      </c>
      <c r="Q6" s="27" t="s">
        <v>248</v>
      </c>
      <c r="R6" s="14" t="s">
        <v>7</v>
      </c>
      <c r="S6" s="14"/>
      <c r="T6" s="15"/>
      <c r="U6" s="14" t="s">
        <v>7</v>
      </c>
    </row>
    <row r="7" spans="5:17" ht="12.75">
      <c r="E7" s="24" t="s">
        <v>95</v>
      </c>
      <c r="F7" s="15"/>
      <c r="G7" s="14"/>
      <c r="K7" s="14" t="s">
        <v>10</v>
      </c>
      <c r="L7" s="14" t="s">
        <v>232</v>
      </c>
      <c r="M7" s="1" t="s">
        <v>191</v>
      </c>
      <c r="N7" s="19" t="s">
        <v>8</v>
      </c>
      <c r="O7" s="19" t="s">
        <v>8</v>
      </c>
      <c r="Q7" s="27" t="s">
        <v>210</v>
      </c>
    </row>
    <row r="8" spans="5:17" ht="12.75">
      <c r="E8" s="24" t="s">
        <v>148</v>
      </c>
      <c r="F8" s="15"/>
      <c r="G8" s="12"/>
      <c r="M8" s="19" t="s">
        <v>6</v>
      </c>
      <c r="N8" s="19" t="s">
        <v>6</v>
      </c>
      <c r="P8" s="15" t="s">
        <v>200</v>
      </c>
      <c r="Q8" s="27" t="s">
        <v>7</v>
      </c>
    </row>
    <row r="9" spans="7:15" ht="12.75">
      <c r="G9" s="12"/>
      <c r="M9" s="19" t="s">
        <v>232</v>
      </c>
      <c r="N9" s="19" t="s">
        <v>232</v>
      </c>
      <c r="O9" s="1" t="s">
        <v>164</v>
      </c>
    </row>
    <row r="10" ht="12.75">
      <c r="G10" s="12"/>
    </row>
    <row r="11" spans="1:22" ht="12.75">
      <c r="A11" s="7">
        <v>1259</v>
      </c>
      <c r="B11" s="23">
        <v>11</v>
      </c>
      <c r="C11" s="23">
        <v>2</v>
      </c>
      <c r="D11" s="8">
        <f>(B11/12)+(C11/240)</f>
        <v>0.9249999999999999</v>
      </c>
      <c r="E11" s="6">
        <v>242</v>
      </c>
      <c r="F11" s="10">
        <f>5760/G11</f>
        <v>258.1333333333333</v>
      </c>
      <c r="G11" s="12">
        <f>5400/E11</f>
        <v>22.31404958677686</v>
      </c>
      <c r="H11" s="12">
        <f>349.9144375/E11</f>
        <v>1.4459274276859504</v>
      </c>
      <c r="I11" s="12">
        <f>H11*D11</f>
        <v>1.337482870609504</v>
      </c>
      <c r="K11" s="12">
        <f>I11*240</f>
        <v>320.99588894628096</v>
      </c>
      <c r="L11" s="12">
        <f>K11/0.925</f>
        <v>347.022582644628</v>
      </c>
      <c r="M11" s="22">
        <f>E11/240</f>
        <v>1.0083333333333333</v>
      </c>
      <c r="N11" s="22">
        <f>E11/240</f>
        <v>1.0083333333333333</v>
      </c>
      <c r="O11">
        <v>20</v>
      </c>
      <c r="P11" s="10">
        <v>2</v>
      </c>
      <c r="Q11" s="26">
        <f>(E11/240)/D11</f>
        <v>1.09009009009009</v>
      </c>
      <c r="R11" s="12">
        <f>(1000/349.9144375/D11)*(E11/240)</f>
        <v>3.115304695280229</v>
      </c>
      <c r="T11" s="10">
        <f>(R11/$R$23)*100</f>
        <v>80.66666666666666</v>
      </c>
      <c r="U11" s="12">
        <v>28.967442651146854</v>
      </c>
      <c r="V11" s="12">
        <f>U11/R11</f>
        <v>9.298430004305297</v>
      </c>
    </row>
    <row r="12" ht="12.75">
      <c r="G12" s="12"/>
    </row>
    <row r="13" spans="1:21" ht="12.75">
      <c r="A13" s="7" t="s">
        <v>18</v>
      </c>
      <c r="B13" s="23">
        <v>11</v>
      </c>
      <c r="C13" s="23">
        <v>2</v>
      </c>
      <c r="D13" s="8">
        <f>(B13/12)+(C13/240)</f>
        <v>0.9249999999999999</v>
      </c>
      <c r="E13" s="6">
        <v>243</v>
      </c>
      <c r="F13" s="10">
        <f>5760/G13</f>
        <v>259.2</v>
      </c>
      <c r="G13" s="12">
        <f>5400/E13</f>
        <v>22.22222222222222</v>
      </c>
      <c r="H13" s="12">
        <f>349.9144375/E13</f>
        <v>1.439977109053498</v>
      </c>
      <c r="I13" s="12">
        <f>H13*D13</f>
        <v>1.3319788258744856</v>
      </c>
      <c r="J13" s="4">
        <f>(I13-I11)/I11</f>
        <v>-0.0041152263374485566</v>
      </c>
      <c r="K13" s="12">
        <f>I13*240</f>
        <v>319.6749182098765</v>
      </c>
      <c r="L13" s="12">
        <f>K13/0.925</f>
        <v>345.5945061728395</v>
      </c>
      <c r="M13" s="22">
        <f>E13/240</f>
        <v>1.0125</v>
      </c>
      <c r="N13" s="22">
        <f>E13/240</f>
        <v>1.0125</v>
      </c>
      <c r="O13">
        <v>20</v>
      </c>
      <c r="P13" s="10">
        <v>3</v>
      </c>
      <c r="Q13" s="26">
        <f>(E13/240)/D13</f>
        <v>1.0945945945945945</v>
      </c>
      <c r="R13" s="12">
        <f>(1000/349.9144375/D13)*(E13/240)</f>
        <v>3.1281778551780812</v>
      </c>
      <c r="S13" s="4">
        <f>(R13-R11)/R11</f>
        <v>0.004132231404958684</v>
      </c>
      <c r="T13" s="10">
        <f>(R13/$R$23)*100</f>
        <v>81</v>
      </c>
      <c r="U13" s="12"/>
    </row>
    <row r="14" spans="1:7" ht="12.75">
      <c r="A14" s="7" t="s">
        <v>0</v>
      </c>
      <c r="G14" s="12"/>
    </row>
    <row r="15" spans="1:20" ht="12.75">
      <c r="A15" s="7" t="s">
        <v>19</v>
      </c>
      <c r="B15" s="23">
        <v>10</v>
      </c>
      <c r="C15" s="23">
        <v>0</v>
      </c>
      <c r="D15" s="8">
        <f>(B15/12)+(C15/240)</f>
        <v>0.8333333333333334</v>
      </c>
      <c r="E15" s="6">
        <f>M15*240</f>
        <v>252</v>
      </c>
      <c r="F15" s="10">
        <f>5760/G15</f>
        <v>268.8</v>
      </c>
      <c r="G15" s="12">
        <f>5400/E15</f>
        <v>21.428571428571427</v>
      </c>
      <c r="H15" s="12">
        <f>349.9144375/E15</f>
        <v>1.3885493551587302</v>
      </c>
      <c r="I15" s="12">
        <f>H15*D15</f>
        <v>1.1571244626322752</v>
      </c>
      <c r="J15" s="4">
        <f>(I15-I13)/I13</f>
        <v>-0.1312741312741312</v>
      </c>
      <c r="K15" s="12">
        <f>I15*240</f>
        <v>277.70987103174605</v>
      </c>
      <c r="L15" s="12">
        <f>K15/0.925</f>
        <v>300.2268876018876</v>
      </c>
      <c r="M15" s="22">
        <f>21/20</f>
        <v>1.05</v>
      </c>
      <c r="N15" s="22">
        <f>E15/240*(0.925/D15)</f>
        <v>1.1655000000000002</v>
      </c>
      <c r="O15">
        <v>23</v>
      </c>
      <c r="P15" s="10">
        <v>4</v>
      </c>
      <c r="Q15" s="26">
        <f>(E15/240)/D15</f>
        <v>1.26</v>
      </c>
      <c r="R15" s="12">
        <f>(1000/349.9144375/D15)*(E15/240)</f>
        <v>3.6008802866272127</v>
      </c>
      <c r="S15" s="4">
        <f>(R15-R13)/R13</f>
        <v>0.15111111111111086</v>
      </c>
      <c r="T15" s="10">
        <f>(R15/$R$23)*100</f>
        <v>93.23999999999998</v>
      </c>
    </row>
    <row r="16" ht="12.75">
      <c r="G16" s="12"/>
    </row>
    <row r="17" spans="1:22" ht="12.75">
      <c r="A17" s="7" t="s">
        <v>23</v>
      </c>
      <c r="B17" s="23">
        <v>11</v>
      </c>
      <c r="C17" s="23">
        <v>2</v>
      </c>
      <c r="D17" s="8">
        <f>(B17/12)+(C17/240)</f>
        <v>0.9249999999999999</v>
      </c>
      <c r="E17" s="6">
        <f>M17*240</f>
        <v>266</v>
      </c>
      <c r="F17" s="10">
        <f>5760/G17</f>
        <v>283.73333333333335</v>
      </c>
      <c r="G17" s="12">
        <f>5400/E17</f>
        <v>20.30075187969925</v>
      </c>
      <c r="H17" s="12">
        <f>349.9144375/E17</f>
        <v>1.315467810150376</v>
      </c>
      <c r="I17" s="12">
        <f>H17*D17</f>
        <v>1.2168077243890978</v>
      </c>
      <c r="J17" s="4">
        <f>(I17-I15)/I15</f>
        <v>0.05157894736842103</v>
      </c>
      <c r="K17" s="12">
        <f>I17*240</f>
        <v>292.03385385338345</v>
      </c>
      <c r="L17" s="12">
        <f>K17/0.925</f>
        <v>315.7122744360902</v>
      </c>
      <c r="M17" s="22">
        <f>(22+(2/12))/20</f>
        <v>1.1083333333333334</v>
      </c>
      <c r="N17" s="22">
        <f>E17/240*(0.925/D17)</f>
        <v>1.1083333333333336</v>
      </c>
      <c r="O17">
        <v>22</v>
      </c>
      <c r="P17" s="10">
        <v>2</v>
      </c>
      <c r="Q17" s="26">
        <f>(E17/240)/D17</f>
        <v>1.1981981981981984</v>
      </c>
      <c r="R17" s="12">
        <f>(1000/349.9144375/D17)*(E17/240)</f>
        <v>3.4242605328286815</v>
      </c>
      <c r="S17" s="4">
        <f>(R17-R15)/R15</f>
        <v>-0.049049049049048846</v>
      </c>
      <c r="T17" s="10">
        <f>(R17/$R$23)*100</f>
        <v>88.66666666666666</v>
      </c>
      <c r="U17" s="12">
        <v>43.09206344798705</v>
      </c>
      <c r="V17" s="12">
        <f>U17/R17</f>
        <v>12.584341359210176</v>
      </c>
    </row>
    <row r="18" ht="12.75">
      <c r="G18" s="12"/>
    </row>
    <row r="19" spans="1:22" ht="12.75">
      <c r="A19" s="7" t="s">
        <v>24</v>
      </c>
      <c r="B19" s="23">
        <v>11</v>
      </c>
      <c r="C19" s="23">
        <v>2</v>
      </c>
      <c r="D19" s="8">
        <f>(B19/12)+(C19/240)</f>
        <v>0.9249999999999999</v>
      </c>
      <c r="E19" s="6">
        <f>M19*240</f>
        <v>268</v>
      </c>
      <c r="F19" s="10">
        <f>5760/G19</f>
        <v>285.8666666666667</v>
      </c>
      <c r="G19" s="12">
        <f>5400/E19</f>
        <v>20.149253731343283</v>
      </c>
      <c r="H19" s="12">
        <f>349.9144375/E19</f>
        <v>1.30565088619403</v>
      </c>
      <c r="I19" s="12">
        <f>H19*D19</f>
        <v>1.2077270697294775</v>
      </c>
      <c r="J19" s="4">
        <f>(I19-I17)/I17</f>
        <v>-0.007462686567164291</v>
      </c>
      <c r="K19" s="12">
        <f>I19*240</f>
        <v>289.8544967350746</v>
      </c>
      <c r="L19" s="12">
        <f>K19/0.925</f>
        <v>313.3562126865671</v>
      </c>
      <c r="M19" s="22">
        <f>(22+(4/12))/20</f>
        <v>1.1166666666666667</v>
      </c>
      <c r="N19" s="22">
        <f>E19/240*(0.925/D19)</f>
        <v>1.116666666666667</v>
      </c>
      <c r="O19">
        <v>22</v>
      </c>
      <c r="P19" s="10">
        <v>2</v>
      </c>
      <c r="Q19" s="26">
        <f>(E19/240)/D19</f>
        <v>1.2072072072072073</v>
      </c>
      <c r="R19" s="12">
        <f>(1000/349.9144375/D19)*(E19/240)</f>
        <v>3.450006852624386</v>
      </c>
      <c r="S19" s="4">
        <f>(R19-R17)/R17</f>
        <v>0.007518796992481214</v>
      </c>
      <c r="T19" s="10">
        <f>(R19/$R$23)*100</f>
        <v>89.33333333333333</v>
      </c>
      <c r="U19" s="12">
        <v>34.04273012390977</v>
      </c>
      <c r="V19" s="12">
        <f>U19/R19</f>
        <v>9.867438407553829</v>
      </c>
    </row>
    <row r="20" ht="12.75">
      <c r="G20" s="12"/>
    </row>
    <row r="21" spans="1:22" ht="12.75">
      <c r="A21" s="7" t="s">
        <v>26</v>
      </c>
      <c r="B21" s="23">
        <v>11</v>
      </c>
      <c r="C21" s="23">
        <v>2</v>
      </c>
      <c r="D21" s="8">
        <f>(B21/12)+(C21/240)</f>
        <v>0.9249999999999999</v>
      </c>
      <c r="E21" s="6">
        <f>M21*240</f>
        <v>270</v>
      </c>
      <c r="F21" s="10">
        <f>5760/G21</f>
        <v>288</v>
      </c>
      <c r="G21" s="12">
        <f>5400/E21</f>
        <v>20</v>
      </c>
      <c r="H21" s="12">
        <f>349.9144375/E21</f>
        <v>1.2959793981481482</v>
      </c>
      <c r="I21" s="12">
        <f>H21*D21</f>
        <v>1.198780943287037</v>
      </c>
      <c r="J21" s="4">
        <f>(I21-I19)/I19</f>
        <v>-0.007407407407407277</v>
      </c>
      <c r="K21" s="12">
        <f>I21*240</f>
        <v>287.7074263888889</v>
      </c>
      <c r="L21" s="12">
        <f>K21/0.925</f>
        <v>311.0350555555556</v>
      </c>
      <c r="M21" s="22">
        <f>(22+(6/12))/20</f>
        <v>1.125</v>
      </c>
      <c r="N21" s="22">
        <f>E21/240*(0.925/D21)</f>
        <v>1.1250000000000002</v>
      </c>
      <c r="O21">
        <v>22</v>
      </c>
      <c r="P21" s="10">
        <v>6</v>
      </c>
      <c r="Q21" s="26">
        <f>(E21/240)/D21</f>
        <v>1.2162162162162162</v>
      </c>
      <c r="R21" s="12">
        <f>(1000/349.9144375/D21)*(E21/240)</f>
        <v>3.4757531724200903</v>
      </c>
      <c r="S21" s="4">
        <f>(R21-R19)/R19</f>
        <v>0.007462686567164189</v>
      </c>
      <c r="T21" s="10">
        <f>(R21/$R$23)*100</f>
        <v>90</v>
      </c>
      <c r="U21" s="12">
        <v>36.197333296309125</v>
      </c>
      <c r="V21" s="12">
        <f>U21/R21</f>
        <v>10.414241604821934</v>
      </c>
    </row>
    <row r="22" ht="12.75">
      <c r="G22" s="12"/>
    </row>
    <row r="23" spans="1:22" ht="12.75">
      <c r="A23" s="7" t="s">
        <v>27</v>
      </c>
      <c r="B23" s="23">
        <v>11</v>
      </c>
      <c r="C23" s="23">
        <v>2</v>
      </c>
      <c r="D23" s="8">
        <f>(B23/12)+(C23/240)</f>
        <v>0.9249999999999999</v>
      </c>
      <c r="E23" s="6">
        <f>M23*240</f>
        <v>300</v>
      </c>
      <c r="F23" s="10">
        <f>5760/G23</f>
        <v>320</v>
      </c>
      <c r="G23" s="12">
        <f>5400/E23</f>
        <v>18</v>
      </c>
      <c r="H23" s="12">
        <f>349.9144375/E23</f>
        <v>1.1663814583333334</v>
      </c>
      <c r="I23" s="12">
        <f>H23*D23</f>
        <v>1.0789028489583332</v>
      </c>
      <c r="J23" s="4">
        <f>(I23-I21)/I21</f>
        <v>-0.10000000000000014</v>
      </c>
      <c r="K23" s="12">
        <f>I23*240</f>
        <v>258.93668375</v>
      </c>
      <c r="L23" s="12">
        <f>K23/0.925</f>
        <v>279.93154999999996</v>
      </c>
      <c r="M23" s="22">
        <f>25/20</f>
        <v>1.25</v>
      </c>
      <c r="N23" s="22">
        <f>E23/240*(0.925/D23)</f>
        <v>1.2500000000000002</v>
      </c>
      <c r="O23">
        <v>25</v>
      </c>
      <c r="P23" s="10">
        <v>0</v>
      </c>
      <c r="Q23" s="26">
        <f>(E23/240)/D23</f>
        <v>1.3513513513513515</v>
      </c>
      <c r="R23" s="12">
        <f>(1000/349.9144375/D23)*(E23/240)</f>
        <v>3.861947969355656</v>
      </c>
      <c r="S23" s="4">
        <f>(R23-R21)/R21</f>
        <v>0.11111111111111113</v>
      </c>
      <c r="T23" s="10">
        <f>(R23/$R$23)*100</f>
        <v>100</v>
      </c>
      <c r="U23" s="12">
        <v>38.78285710318835</v>
      </c>
      <c r="V23" s="12">
        <f>U23/R23</f>
        <v>10.042304404649721</v>
      </c>
    </row>
    <row r="24" ht="12.75">
      <c r="G24" s="12"/>
    </row>
    <row r="25" spans="1:22" ht="12.75">
      <c r="A25" s="7" t="s">
        <v>31</v>
      </c>
      <c r="B25" s="23">
        <v>11</v>
      </c>
      <c r="C25" s="23">
        <v>2</v>
      </c>
      <c r="D25" s="8">
        <f>(B25/12)+(C25/240)</f>
        <v>0.9249999999999999</v>
      </c>
      <c r="E25" s="6">
        <f>M25*240</f>
        <v>360</v>
      </c>
      <c r="F25" s="10">
        <f>5760/G25</f>
        <v>384</v>
      </c>
      <c r="G25" s="12">
        <f>5400/E25</f>
        <v>15</v>
      </c>
      <c r="H25" s="12">
        <f>349.9144375/E25</f>
        <v>0.9719845486111112</v>
      </c>
      <c r="I25" s="12">
        <f>H25*D25</f>
        <v>0.8990857074652777</v>
      </c>
      <c r="J25" s="4">
        <f>(I25-I23)/I23</f>
        <v>-0.16666666666666663</v>
      </c>
      <c r="K25" s="12">
        <f>I25*240</f>
        <v>215.78056979166666</v>
      </c>
      <c r="L25" s="12">
        <f>K25/0.925</f>
        <v>233.27629166666665</v>
      </c>
      <c r="M25" s="22">
        <f>30/20</f>
        <v>1.5</v>
      </c>
      <c r="N25" s="22">
        <f>E25/240*(0.925/D25)</f>
        <v>1.5000000000000004</v>
      </c>
      <c r="O25">
        <v>30</v>
      </c>
      <c r="P25" s="10">
        <v>0</v>
      </c>
      <c r="Q25" s="26">
        <f>(E25/240)/D25</f>
        <v>1.6216216216216217</v>
      </c>
      <c r="R25" s="12">
        <f>(1000/349.9144375/D25)*(E25/240)</f>
        <v>4.6343375632267865</v>
      </c>
      <c r="S25" s="4">
        <f>(R25-R23)/R23</f>
        <v>0.19999999999999982</v>
      </c>
      <c r="T25" s="10">
        <f>(R25/$R$23)*100</f>
        <v>119.99999999999997</v>
      </c>
      <c r="U25" s="12">
        <v>43.09206344798705</v>
      </c>
      <c r="V25" s="12">
        <f>U25/R25</f>
        <v>9.298430004305297</v>
      </c>
    </row>
    <row r="26" ht="12.75">
      <c r="G26" s="12"/>
    </row>
    <row r="27" spans="1:22" ht="12.75">
      <c r="A27" s="7" t="s">
        <v>32</v>
      </c>
      <c r="B27" s="23">
        <v>11</v>
      </c>
      <c r="C27" s="23">
        <v>2</v>
      </c>
      <c r="D27" s="8">
        <f>(B27/12)+(C27/240)</f>
        <v>0.9249999999999999</v>
      </c>
      <c r="E27" s="6">
        <f>M27*240</f>
        <v>450</v>
      </c>
      <c r="F27" s="10">
        <f>5760/G27</f>
        <v>480</v>
      </c>
      <c r="G27" s="12">
        <f>5400/E27</f>
        <v>12</v>
      </c>
      <c r="H27" s="12">
        <f>349.9144375/E27</f>
        <v>0.7775876388888889</v>
      </c>
      <c r="I27" s="12">
        <f>H27*D27</f>
        <v>0.7192685659722222</v>
      </c>
      <c r="J27" s="4">
        <f>(I27-I25)/I25</f>
        <v>-0.19999999999999996</v>
      </c>
      <c r="K27" s="12">
        <f>I27*240</f>
        <v>172.62445583333334</v>
      </c>
      <c r="L27" s="12">
        <f>K27/0.925</f>
        <v>186.62103333333334</v>
      </c>
      <c r="M27" s="22">
        <f>(37+(6/12))/20</f>
        <v>1.875</v>
      </c>
      <c r="N27" s="22">
        <f>E27/240*(0.925/D27)</f>
        <v>1.8750000000000004</v>
      </c>
      <c r="O27">
        <v>37</v>
      </c>
      <c r="P27" s="10">
        <v>6</v>
      </c>
      <c r="Q27" s="26">
        <f>(E27/240)/D27</f>
        <v>2.027027027027027</v>
      </c>
      <c r="R27" s="12">
        <f>(1000/349.9144375/D27)*(E27/240)</f>
        <v>5.792921954033484</v>
      </c>
      <c r="S27" s="4">
        <f>(R27-R25)/R25</f>
        <v>0.25000000000000017</v>
      </c>
      <c r="T27" s="10">
        <f>(R27/$R$23)*100</f>
        <v>150</v>
      </c>
      <c r="U27" s="12">
        <v>58.17428565478252</v>
      </c>
      <c r="V27" s="12">
        <f>U27/R27</f>
        <v>10.042304404649721</v>
      </c>
    </row>
    <row r="28" spans="7:21" ht="12.75">
      <c r="G28" s="12"/>
      <c r="U28" s="12"/>
    </row>
    <row r="29" spans="1:22" ht="12.75">
      <c r="A29" s="7" t="s">
        <v>33</v>
      </c>
      <c r="B29" s="23">
        <v>11</v>
      </c>
      <c r="C29" s="23">
        <v>2</v>
      </c>
      <c r="D29" s="8">
        <f>(B29/12)+(C29/240)</f>
        <v>0.9249999999999999</v>
      </c>
      <c r="E29" s="6">
        <f>M29*240</f>
        <v>450</v>
      </c>
      <c r="F29" s="10">
        <f>5760/G29</f>
        <v>480</v>
      </c>
      <c r="G29" s="12">
        <f>5400/E29</f>
        <v>12</v>
      </c>
      <c r="H29" s="12">
        <f>349.9144375/E29</f>
        <v>0.7775876388888889</v>
      </c>
      <c r="I29" s="12">
        <f>H29*D29</f>
        <v>0.7192685659722222</v>
      </c>
      <c r="J29" s="4">
        <f>(I29-I27)/I27</f>
        <v>0</v>
      </c>
      <c r="K29" s="12">
        <f>I29*240</f>
        <v>172.62445583333334</v>
      </c>
      <c r="L29" s="12">
        <f>K29/0.925</f>
        <v>186.62103333333334</v>
      </c>
      <c r="M29" s="22">
        <f>(37+(6/12))/20</f>
        <v>1.875</v>
      </c>
      <c r="N29" s="22">
        <f>E29/240*(0.925/D29)</f>
        <v>1.8750000000000004</v>
      </c>
      <c r="O29">
        <v>37</v>
      </c>
      <c r="P29" s="10">
        <v>6</v>
      </c>
      <c r="Q29" s="26">
        <f>(E29/240)/D29</f>
        <v>2.027027027027027</v>
      </c>
      <c r="R29" s="12">
        <f>(1000/349.9144375/D29)*(E29/240)</f>
        <v>5.792921954033484</v>
      </c>
      <c r="S29" s="4">
        <f>(R29-R27)/R27</f>
        <v>0</v>
      </c>
      <c r="T29" s="10">
        <f>(R29/$R$23)*100</f>
        <v>150</v>
      </c>
      <c r="U29" s="12">
        <v>64.63809517198058</v>
      </c>
      <c r="V29" s="12">
        <f>U29/R29</f>
        <v>11.158116005166356</v>
      </c>
    </row>
    <row r="30" ht="12.75">
      <c r="G30" s="12"/>
    </row>
    <row r="31" spans="1:22" ht="12.75">
      <c r="A31" s="7" t="s">
        <v>38</v>
      </c>
      <c r="B31" s="23">
        <v>11</v>
      </c>
      <c r="C31" s="23">
        <v>2</v>
      </c>
      <c r="D31" s="8">
        <f>(B31/12)+(C31/240)</f>
        <v>0.9249999999999999</v>
      </c>
      <c r="E31" s="6">
        <f>M31*240</f>
        <v>506.25</v>
      </c>
      <c r="F31" s="10">
        <f>5760/G31</f>
        <v>540</v>
      </c>
      <c r="G31" s="12">
        <f>5400/E31</f>
        <v>10.666666666666666</v>
      </c>
      <c r="H31" s="12">
        <f>349.9144375/E31</f>
        <v>0.6911890123456791</v>
      </c>
      <c r="I31" s="12">
        <f>H31*D31</f>
        <v>0.6393498364197531</v>
      </c>
      <c r="J31" s="4">
        <f>(I31-I29)/I29</f>
        <v>-0.11111111111111113</v>
      </c>
      <c r="K31" s="12">
        <f>I31*240</f>
        <v>153.44396074074075</v>
      </c>
      <c r="L31" s="12">
        <f>K31/0.925</f>
        <v>165.88536296296297</v>
      </c>
      <c r="M31" s="22">
        <f>(5400/5760)*$M$35</f>
        <v>2.109375</v>
      </c>
      <c r="N31" s="22">
        <f>E31/240*(0.925/D31)</f>
        <v>2.1093750000000004</v>
      </c>
      <c r="O31">
        <v>42</v>
      </c>
      <c r="P31" s="10">
        <v>2</v>
      </c>
      <c r="Q31" s="26">
        <f>(E31/240)/D31</f>
        <v>2.2804054054054057</v>
      </c>
      <c r="R31" s="12">
        <f>(1000/349.9144375/D31)*(E31/240)</f>
        <v>6.517037198287669</v>
      </c>
      <c r="S31" s="4">
        <f>(R31-R29)/R29</f>
        <v>0.12499999999999994</v>
      </c>
      <c r="T31" s="10">
        <f>(R31/$R$23)*100</f>
        <v>168.75</v>
      </c>
      <c r="U31" s="12">
        <v>72.71785706847815</v>
      </c>
      <c r="V31" s="12">
        <f>U31/R31</f>
        <v>11.158116005166358</v>
      </c>
    </row>
    <row r="32" spans="1:22" ht="12.75">
      <c r="A32" s="7" t="s">
        <v>38</v>
      </c>
      <c r="B32" s="23">
        <v>11</v>
      </c>
      <c r="C32" s="23">
        <v>2</v>
      </c>
      <c r="D32" s="8">
        <f>(B32/12)+(C32/240)</f>
        <v>0.9249999999999999</v>
      </c>
      <c r="E32" s="6">
        <f>M32*240</f>
        <v>506.25</v>
      </c>
      <c r="F32" s="10">
        <f>5760/G32</f>
        <v>540</v>
      </c>
      <c r="G32" s="12">
        <f>5400/E32</f>
        <v>10.666666666666666</v>
      </c>
      <c r="H32" s="12">
        <f>349.9144375/E32</f>
        <v>0.6911890123456791</v>
      </c>
      <c r="I32" s="12">
        <f>H32*D32</f>
        <v>0.6393498364197531</v>
      </c>
      <c r="J32" s="4">
        <v>-0.11111111111111113</v>
      </c>
      <c r="K32" s="12">
        <f>I32*240</f>
        <v>153.44396074074075</v>
      </c>
      <c r="L32" s="12">
        <f>K32/0.925</f>
        <v>165.88536296296297</v>
      </c>
      <c r="M32" s="22">
        <f>(5400/5760)*$M$35</f>
        <v>2.109375</v>
      </c>
      <c r="N32" s="22">
        <f>E32/240*(0.925/D32)</f>
        <v>2.1093750000000004</v>
      </c>
      <c r="O32">
        <v>42</v>
      </c>
      <c r="P32" s="10">
        <v>2</v>
      </c>
      <c r="Q32" s="26">
        <f>(E32/240)/D32</f>
        <v>2.2804054054054057</v>
      </c>
      <c r="R32" s="12">
        <f>(1000/349.9144375/D32)*(E32/240)</f>
        <v>6.517037198287669</v>
      </c>
      <c r="S32" s="4">
        <f>(R32-R31)/R31</f>
        <v>0</v>
      </c>
      <c r="T32" s="10">
        <f>(R32/$R$23)*100</f>
        <v>168.75</v>
      </c>
      <c r="U32" s="12">
        <v>65.44607601557318</v>
      </c>
      <c r="V32" s="12">
        <f>U32/R32</f>
        <v>10.042305118769145</v>
      </c>
    </row>
    <row r="33" spans="1:22" ht="12.75">
      <c r="A33" s="7" t="s">
        <v>38</v>
      </c>
      <c r="B33" s="23">
        <v>11</v>
      </c>
      <c r="C33" s="23">
        <v>2</v>
      </c>
      <c r="D33" s="8">
        <f>(B33/12)+(C33/240)</f>
        <v>0.9249999999999999</v>
      </c>
      <c r="E33" s="6">
        <f>M33*240</f>
        <v>506.25</v>
      </c>
      <c r="F33" s="10">
        <f>5760/G33</f>
        <v>540</v>
      </c>
      <c r="G33" s="12">
        <f>5400/E33</f>
        <v>10.666666666666666</v>
      </c>
      <c r="H33" s="12">
        <f>349.9144375/E33</f>
        <v>0.6911890123456791</v>
      </c>
      <c r="I33" s="12">
        <f>H33*D33</f>
        <v>0.6393498364197531</v>
      </c>
      <c r="J33" s="4">
        <v>-0.11111111111111113</v>
      </c>
      <c r="K33" s="12">
        <f>I33*240</f>
        <v>153.44396074074075</v>
      </c>
      <c r="L33" s="12">
        <f>K33/0.925</f>
        <v>165.88536296296297</v>
      </c>
      <c r="M33" s="22">
        <f>(5400/5760)*$M$35</f>
        <v>2.109375</v>
      </c>
      <c r="N33" s="22">
        <f>E33/240*(0.925/D33)</f>
        <v>2.1093750000000004</v>
      </c>
      <c r="O33">
        <v>42</v>
      </c>
      <c r="P33" s="10">
        <v>2</v>
      </c>
      <c r="Q33" s="26">
        <f>(E33/240)/D33</f>
        <v>2.2804054054054057</v>
      </c>
      <c r="R33" s="12">
        <f>(1000/349.9144375/D33)*(E33/240)</f>
        <v>6.517037198287669</v>
      </c>
      <c r="S33" s="4">
        <f>(R33-R32)/R32</f>
        <v>0</v>
      </c>
      <c r="T33" s="10">
        <f>(R33/$R$23)*100</f>
        <v>168.75</v>
      </c>
      <c r="U33" s="12">
        <v>72.71785706847815</v>
      </c>
      <c r="V33" s="12">
        <f>U33/R33</f>
        <v>11.158116005166358</v>
      </c>
    </row>
    <row r="34" spans="7:21" ht="12.75">
      <c r="G34" s="12"/>
      <c r="U34" s="12"/>
    </row>
    <row r="35" spans="1:21" ht="12.75">
      <c r="A35" s="7" t="s">
        <v>36</v>
      </c>
      <c r="B35" s="23">
        <v>11</v>
      </c>
      <c r="C35" s="23">
        <v>2</v>
      </c>
      <c r="D35" s="8">
        <f>(B35/12)+(C35/240)</f>
        <v>0.9249999999999999</v>
      </c>
      <c r="E35" s="6">
        <f>5400/G35</f>
        <v>506.25</v>
      </c>
      <c r="F35" s="10">
        <f>M35*240</f>
        <v>540</v>
      </c>
      <c r="G35" s="12">
        <f>5760/F35</f>
        <v>10.666666666666666</v>
      </c>
      <c r="H35" s="12">
        <f>373.242/F35</f>
        <v>0.691188888888889</v>
      </c>
      <c r="I35" s="12">
        <f>H35*D35</f>
        <v>0.6393497222222222</v>
      </c>
      <c r="J35" s="4">
        <f>(I35-I33)/I33</f>
        <v>-1.7861509360123408E-07</v>
      </c>
      <c r="K35" s="12">
        <f>I35*240</f>
        <v>153.44393333333332</v>
      </c>
      <c r="L35" s="12">
        <f>K35/0.925</f>
        <v>165.8853333333333</v>
      </c>
      <c r="M35" s="22">
        <f>45/20</f>
        <v>2.25</v>
      </c>
      <c r="N35" s="22">
        <f>F35/240*(0.925/D35)</f>
        <v>2.2500000000000004</v>
      </c>
      <c r="O35">
        <v>45</v>
      </c>
      <c r="P35" s="10">
        <v>0</v>
      </c>
      <c r="Q35" s="26">
        <f>(F35/240)/D35</f>
        <v>2.4324324324324325</v>
      </c>
      <c r="R35" s="12">
        <f>(1000/373.242/D35)*(F35/240)</f>
        <v>6.517038362329085</v>
      </c>
      <c r="S35" s="4">
        <f>(R35-R33)/R33</f>
        <v>1.7861512535973883E-07</v>
      </c>
      <c r="T35" s="10">
        <f>(R35/$R$23)*100</f>
        <v>168.75003014130237</v>
      </c>
      <c r="U35" s="12"/>
    </row>
    <row r="36" spans="7:21" ht="12.75">
      <c r="G36" s="12"/>
      <c r="U36" s="12"/>
    </row>
    <row r="37" spans="1:21" ht="12.75">
      <c r="A37" s="7" t="s">
        <v>41</v>
      </c>
      <c r="B37" s="23">
        <v>9</v>
      </c>
      <c r="C37" s="23">
        <v>2</v>
      </c>
      <c r="D37" s="8">
        <f>(B37/12)+(C37/240)</f>
        <v>0.7583333333333333</v>
      </c>
      <c r="E37" s="6">
        <f>5400/G37</f>
        <v>540</v>
      </c>
      <c r="F37" s="10">
        <f>M37*240</f>
        <v>576</v>
      </c>
      <c r="G37" s="12">
        <f>5760/F37</f>
        <v>10</v>
      </c>
      <c r="H37" s="12">
        <f>373.242/F37</f>
        <v>0.6479895833333333</v>
      </c>
      <c r="I37" s="12">
        <f>H37*D37</f>
        <v>0.49139210069444444</v>
      </c>
      <c r="J37" s="4">
        <f>(I37-I35)/I35</f>
        <v>-0.2314189189189189</v>
      </c>
      <c r="K37" s="12">
        <f>I37*240</f>
        <v>117.93410416666667</v>
      </c>
      <c r="L37" s="12">
        <f>K37/0.925</f>
        <v>127.49632882882882</v>
      </c>
      <c r="M37" s="22">
        <f>48/20</f>
        <v>2.4</v>
      </c>
      <c r="N37" s="22">
        <f>F37/240*(0.925/D37)</f>
        <v>2.9274725274725277</v>
      </c>
      <c r="O37">
        <v>58</v>
      </c>
      <c r="P37" s="10">
        <f>0.275*12</f>
        <v>3.3000000000000003</v>
      </c>
      <c r="Q37" s="26">
        <f>(F37/240)/D37</f>
        <v>3.1648351648351647</v>
      </c>
      <c r="R37" s="12">
        <f>(1000/373.242/D37)*(F37/240)</f>
        <v>8.479311451645755</v>
      </c>
      <c r="S37" s="4">
        <f>(R37-R35)/R35</f>
        <v>0.30109890109890103</v>
      </c>
      <c r="T37" s="10">
        <f>(R37/$R$23)*100</f>
        <v>219.56047877725499</v>
      </c>
      <c r="U37" s="12"/>
    </row>
    <row r="38" spans="7:21" ht="12.75">
      <c r="G38" s="12"/>
      <c r="U38" s="12"/>
    </row>
    <row r="39" spans="1:21" ht="12.75">
      <c r="A39" s="7" t="s">
        <v>42</v>
      </c>
      <c r="B39" s="23">
        <v>9</v>
      </c>
      <c r="C39" s="23">
        <v>0</v>
      </c>
      <c r="D39" s="8">
        <f>(B39/12)+(C39/240)</f>
        <v>0.75</v>
      </c>
      <c r="E39" s="6">
        <f>5400/G39</f>
        <v>540</v>
      </c>
      <c r="F39" s="10">
        <f>M39*240</f>
        <v>576</v>
      </c>
      <c r="G39" s="12">
        <f>5760/F39</f>
        <v>10</v>
      </c>
      <c r="H39" s="12">
        <f>373.242/F39</f>
        <v>0.6479895833333333</v>
      </c>
      <c r="I39" s="12">
        <f>H39*D39</f>
        <v>0.4859921875</v>
      </c>
      <c r="J39" s="4">
        <f>(I39-I37)/I37</f>
        <v>-0.010989010989010978</v>
      </c>
      <c r="K39" s="12">
        <f>I39*240</f>
        <v>116.638125</v>
      </c>
      <c r="L39" s="12">
        <f>K39/0.925</f>
        <v>126.09527027027026</v>
      </c>
      <c r="M39" s="22">
        <f>48/20</f>
        <v>2.4</v>
      </c>
      <c r="N39" s="22">
        <f>F39/240*(0.925/D39)</f>
        <v>2.96</v>
      </c>
      <c r="O39">
        <v>59</v>
      </c>
      <c r="P39" s="10">
        <v>2.4</v>
      </c>
      <c r="Q39" s="26">
        <f>(F39/240)/D39</f>
        <v>3.1999999999999997</v>
      </c>
      <c r="R39" s="12">
        <f>(1000/373.242/D39)*(F39/240)</f>
        <v>8.573526023330707</v>
      </c>
      <c r="S39" s="4">
        <f>(R39-R37)/R37</f>
        <v>0.0111111111111111</v>
      </c>
      <c r="T39" s="10">
        <f>(R39/$R$23)*100</f>
        <v>222.0000396525578</v>
      </c>
      <c r="U39" s="12"/>
    </row>
    <row r="40" spans="7:21" ht="12.75">
      <c r="G40" s="12"/>
      <c r="U40" s="12"/>
    </row>
    <row r="41" spans="1:21" ht="12.75">
      <c r="A41" s="7" t="s">
        <v>44</v>
      </c>
      <c r="B41" s="23">
        <v>6</v>
      </c>
      <c r="C41" s="23">
        <v>0</v>
      </c>
      <c r="D41" s="8">
        <f>(B41/12)+(C41/240)</f>
        <v>0.5</v>
      </c>
      <c r="E41" s="6">
        <f>5400/G41</f>
        <v>540</v>
      </c>
      <c r="F41" s="10">
        <f>M41*240</f>
        <v>576</v>
      </c>
      <c r="G41" s="12">
        <f>5760/F41</f>
        <v>10</v>
      </c>
      <c r="H41" s="12">
        <f>373.242/F41</f>
        <v>0.6479895833333333</v>
      </c>
      <c r="I41" s="12">
        <f>H41*D41</f>
        <v>0.32399479166666667</v>
      </c>
      <c r="J41" s="4">
        <f>(I41-I39)/I39</f>
        <v>-0.3333333333333333</v>
      </c>
      <c r="K41" s="12">
        <f>I41*240</f>
        <v>77.75875</v>
      </c>
      <c r="L41" s="12">
        <f>K41/0.925</f>
        <v>84.06351351351351</v>
      </c>
      <c r="M41" s="22">
        <f>48/20</f>
        <v>2.4</v>
      </c>
      <c r="N41" s="22">
        <f>F41/240*(0.925/D41)</f>
        <v>4.44</v>
      </c>
      <c r="O41">
        <v>88</v>
      </c>
      <c r="P41" s="10">
        <v>9.6</v>
      </c>
      <c r="Q41" s="26">
        <f>(F41/240)/D41</f>
        <v>4.8</v>
      </c>
      <c r="R41" s="12">
        <f>(1000/373.242/D41)*(F41/240)</f>
        <v>12.860289034996061</v>
      </c>
      <c r="S41" s="4">
        <f>(R41-R39)/R39</f>
        <v>0.5</v>
      </c>
      <c r="T41" s="10">
        <f>(R41/$R$23)*100</f>
        <v>333.0000594788367</v>
      </c>
      <c r="U41" s="12"/>
    </row>
    <row r="42" spans="7:21" ht="12.75">
      <c r="G42" s="12"/>
      <c r="U42" s="12"/>
    </row>
    <row r="43" spans="1:21" ht="12.75">
      <c r="A43" s="7" t="s">
        <v>46</v>
      </c>
      <c r="B43" s="23">
        <v>4</v>
      </c>
      <c r="C43" s="23">
        <v>0</v>
      </c>
      <c r="D43" s="8">
        <f>(B43/12)+(C43/240)</f>
        <v>0.3333333333333333</v>
      </c>
      <c r="E43" s="6">
        <f>5400/G43</f>
        <v>540</v>
      </c>
      <c r="F43" s="10">
        <f>M43*240</f>
        <v>576</v>
      </c>
      <c r="G43" s="12">
        <f>5760/F43</f>
        <v>10</v>
      </c>
      <c r="H43" s="12">
        <f>373.242/F43</f>
        <v>0.6479895833333333</v>
      </c>
      <c r="I43" s="12">
        <f>H43*D43</f>
        <v>0.21599652777777778</v>
      </c>
      <c r="J43" s="4">
        <f>(I43-I41)/I41</f>
        <v>-0.3333333333333333</v>
      </c>
      <c r="K43" s="12">
        <f>I43*240</f>
        <v>51.83916666666667</v>
      </c>
      <c r="L43" s="12">
        <f>K43/0.925</f>
        <v>56.042342342342344</v>
      </c>
      <c r="M43" s="22">
        <f>48/20</f>
        <v>2.4</v>
      </c>
      <c r="N43" s="22">
        <f>F43/240*(0.925/D43)</f>
        <v>6.660000000000001</v>
      </c>
      <c r="O43">
        <v>133</v>
      </c>
      <c r="P43" s="10">
        <v>2.4</v>
      </c>
      <c r="Q43" s="26">
        <f>(F43/240)/D43</f>
        <v>7.2</v>
      </c>
      <c r="R43" s="12">
        <f>(1000/373.242/D43)*(F43/240)</f>
        <v>19.290433552494093</v>
      </c>
      <c r="S43" s="4">
        <f>(R43-R41)/R41</f>
        <v>0.5000000000000001</v>
      </c>
      <c r="T43" s="10">
        <f>(R43/$R$23)*100</f>
        <v>499.5000892182551</v>
      </c>
      <c r="U43" s="12"/>
    </row>
    <row r="44" spans="7:21" ht="12.75">
      <c r="G44" s="12"/>
      <c r="U44" s="12"/>
    </row>
    <row r="45" spans="1:21" ht="12.75">
      <c r="A45" s="7" t="s">
        <v>47</v>
      </c>
      <c r="B45" s="23">
        <v>4</v>
      </c>
      <c r="C45" s="23">
        <v>0</v>
      </c>
      <c r="D45" s="8">
        <f>(B45/12)+(C45/240)</f>
        <v>0.3333333333333333</v>
      </c>
      <c r="E45" s="6">
        <f>5400/G45</f>
        <v>540</v>
      </c>
      <c r="F45" s="10">
        <f>M45*240</f>
        <v>576</v>
      </c>
      <c r="G45" s="12">
        <f>5760/F45</f>
        <v>10</v>
      </c>
      <c r="H45" s="12">
        <f>373.242/F45</f>
        <v>0.6479895833333333</v>
      </c>
      <c r="I45" s="12">
        <f>H45*D45</f>
        <v>0.21599652777777778</v>
      </c>
      <c r="J45" s="4">
        <f>(I45-I43)/I43</f>
        <v>0</v>
      </c>
      <c r="K45" s="12">
        <f>I45*240</f>
        <v>51.83916666666667</v>
      </c>
      <c r="L45" s="12">
        <f>K45/0.925</f>
        <v>56.042342342342344</v>
      </c>
      <c r="M45" s="22">
        <f>48/20</f>
        <v>2.4</v>
      </c>
      <c r="N45" s="22">
        <f>F45/240*(0.925/D45)</f>
        <v>6.660000000000001</v>
      </c>
      <c r="O45">
        <v>133</v>
      </c>
      <c r="P45" s="10">
        <v>2.4</v>
      </c>
      <c r="Q45" s="26">
        <f>(F45/240)/D45</f>
        <v>7.2</v>
      </c>
      <c r="R45" s="12">
        <f>(1000/373.242/D45)*(F45/240)</f>
        <v>19.290433552494093</v>
      </c>
      <c r="S45" s="4">
        <f>(R45-R43)/R43</f>
        <v>0</v>
      </c>
      <c r="T45" s="10">
        <f>(R45/$R$23)*100</f>
        <v>499.5000892182551</v>
      </c>
      <c r="U45" s="12"/>
    </row>
    <row r="46" spans="7:21" ht="12.75">
      <c r="G46" s="12"/>
      <c r="U46" s="12"/>
    </row>
    <row r="47" spans="1:21" ht="12.75">
      <c r="A47" s="7" t="s">
        <v>49</v>
      </c>
      <c r="B47" s="23">
        <v>8</v>
      </c>
      <c r="C47" s="23">
        <v>0</v>
      </c>
      <c r="D47" s="8">
        <f>(B47/12)+(C47/240)</f>
        <v>0.6666666666666666</v>
      </c>
      <c r="E47" s="6">
        <f>5400/G47</f>
        <v>1080</v>
      </c>
      <c r="F47" s="10">
        <f>M47*240</f>
        <v>1152</v>
      </c>
      <c r="G47" s="12">
        <f>5760/F47</f>
        <v>5</v>
      </c>
      <c r="H47" s="12">
        <f>373.242/F47</f>
        <v>0.32399479166666667</v>
      </c>
      <c r="I47" s="12">
        <f>H47*D47</f>
        <v>0.21599652777777778</v>
      </c>
      <c r="J47" s="4">
        <f>(I47-I45)/I45</f>
        <v>0</v>
      </c>
      <c r="K47" s="12">
        <f>I47*240</f>
        <v>51.83916666666667</v>
      </c>
      <c r="L47" s="12">
        <f>K47/0.925</f>
        <v>56.042342342342344</v>
      </c>
      <c r="M47" s="22">
        <f>96/20</f>
        <v>4.8</v>
      </c>
      <c r="N47" s="22">
        <f>F47/240*(0.925/D47)</f>
        <v>6.660000000000001</v>
      </c>
      <c r="O47">
        <v>133</v>
      </c>
      <c r="P47" s="10">
        <v>2.4</v>
      </c>
      <c r="Q47" s="26">
        <f>(F47/240)/D47</f>
        <v>7.2</v>
      </c>
      <c r="R47" s="12">
        <f>(1000/373.242/D47)*(F47/240)</f>
        <v>19.290433552494093</v>
      </c>
      <c r="S47" s="4">
        <f>(R47-R45)/R45</f>
        <v>0</v>
      </c>
      <c r="T47" s="10">
        <f>(R47/$R$23)*100</f>
        <v>499.5000892182551</v>
      </c>
      <c r="U47" s="12"/>
    </row>
    <row r="49" spans="1:20" ht="12.75">
      <c r="A49" s="7" t="s">
        <v>48</v>
      </c>
      <c r="B49" s="23">
        <v>6</v>
      </c>
      <c r="C49" s="23">
        <v>0</v>
      </c>
      <c r="D49" s="8">
        <f>(B49/12)+(C49/240)</f>
        <v>0.5</v>
      </c>
      <c r="E49" s="6">
        <f>5400/G49</f>
        <v>810</v>
      </c>
      <c r="F49" s="10">
        <f>M49*240</f>
        <v>864</v>
      </c>
      <c r="G49" s="12">
        <f>5760/F49</f>
        <v>6.666666666666667</v>
      </c>
      <c r="H49" s="12">
        <f>373.242/F49</f>
        <v>0.43199305555555556</v>
      </c>
      <c r="I49" s="12">
        <f>H49*D49</f>
        <v>0.21599652777777778</v>
      </c>
      <c r="J49" s="4">
        <f>(I49-I47)/I47</f>
        <v>0</v>
      </c>
      <c r="K49" s="12">
        <f>I49*240</f>
        <v>51.83916666666667</v>
      </c>
      <c r="L49" s="12">
        <f>K49/0.925</f>
        <v>56.042342342342344</v>
      </c>
      <c r="M49" s="22">
        <f>72/20</f>
        <v>3.6</v>
      </c>
      <c r="N49" s="22">
        <f>F49/240*(0.925/D49)</f>
        <v>6.66</v>
      </c>
      <c r="O49">
        <v>133</v>
      </c>
      <c r="P49" s="10">
        <v>2.4</v>
      </c>
      <c r="Q49" s="26">
        <f>(F49/240)/D49</f>
        <v>7.2</v>
      </c>
      <c r="R49" s="12">
        <f>(1000/373.242/D49)*(F49/240)</f>
        <v>19.290433552494093</v>
      </c>
      <c r="S49" s="4">
        <f>(R49-R47)/R47</f>
        <v>0</v>
      </c>
      <c r="T49" s="10">
        <f>(R49/$R$23)*100</f>
        <v>499.5000892182551</v>
      </c>
    </row>
    <row r="50" ht="12.75">
      <c r="G50" s="12"/>
    </row>
    <row r="51" spans="1:20" ht="12.75">
      <c r="A51" s="7" t="s">
        <v>51</v>
      </c>
      <c r="B51" s="23">
        <v>3</v>
      </c>
      <c r="C51" s="23">
        <v>0</v>
      </c>
      <c r="D51" s="8">
        <f>(B51/12)+(C51/240)</f>
        <v>0.25</v>
      </c>
      <c r="E51" s="6">
        <f>5400/G51</f>
        <v>810</v>
      </c>
      <c r="F51" s="10">
        <f>M51*240</f>
        <v>864</v>
      </c>
      <c r="G51" s="12">
        <f>5760/F51</f>
        <v>6.666666666666667</v>
      </c>
      <c r="H51" s="12">
        <f>373.242/F51</f>
        <v>0.43199305555555556</v>
      </c>
      <c r="I51" s="12">
        <f>H51*D51</f>
        <v>0.10799826388888889</v>
      </c>
      <c r="J51" s="4">
        <f>(I51-I49)/I49</f>
        <v>-0.5</v>
      </c>
      <c r="K51" s="12">
        <f>I51*240</f>
        <v>25.919583333333335</v>
      </c>
      <c r="L51" s="12">
        <f>K51/0.925</f>
        <v>28.021171171171172</v>
      </c>
      <c r="M51" s="22">
        <f>72/20</f>
        <v>3.6</v>
      </c>
      <c r="N51" s="22">
        <f>F51/240*(0.925/D51)</f>
        <v>13.32</v>
      </c>
      <c r="O51">
        <v>266</v>
      </c>
      <c r="P51" s="10">
        <v>4.8</v>
      </c>
      <c r="Q51" s="26">
        <f>(F51/240)/D51</f>
        <v>14.4</v>
      </c>
      <c r="R51" s="12">
        <f>(1000/373.242/D51)*(F51/240)</f>
        <v>38.58086710498819</v>
      </c>
      <c r="S51" s="4">
        <f>(R51-R49)/R49</f>
        <v>1</v>
      </c>
      <c r="T51" s="10">
        <f>(R51/$R$23)*100</f>
        <v>999.0001784365102</v>
      </c>
    </row>
    <row r="53" spans="1:20" ht="12.75">
      <c r="A53" s="7" t="s">
        <v>53</v>
      </c>
      <c r="B53" s="23">
        <v>11</v>
      </c>
      <c r="C53" s="23">
        <v>1</v>
      </c>
      <c r="D53" s="8">
        <f>(B53/12)+(C53/240)</f>
        <v>0.9208333333333333</v>
      </c>
      <c r="E53" s="6">
        <f>5400/G53</f>
        <v>675</v>
      </c>
      <c r="F53" s="10">
        <f>M53*240</f>
        <v>720</v>
      </c>
      <c r="G53" s="12">
        <f>5760/F53</f>
        <v>8</v>
      </c>
      <c r="H53" s="12">
        <f>373.242/F53</f>
        <v>0.5183916666666667</v>
      </c>
      <c r="I53" s="12">
        <f>H53*D53</f>
        <v>0.4773523263888889</v>
      </c>
      <c r="J53" s="4">
        <f>(I53-I51)/I51</f>
        <v>3.4200000000000004</v>
      </c>
      <c r="K53" s="12">
        <f>I53*240</f>
        <v>114.56455833333334</v>
      </c>
      <c r="L53" s="12">
        <f>K53/0.925</f>
        <v>123.85357657657657</v>
      </c>
      <c r="M53" s="22">
        <f>60/20</f>
        <v>3</v>
      </c>
      <c r="N53" s="22">
        <f>F53/240*(0.925/D53)</f>
        <v>3.013574660633485</v>
      </c>
      <c r="O53">
        <v>60</v>
      </c>
      <c r="P53" s="10">
        <v>3.26</v>
      </c>
      <c r="Q53" s="26">
        <f>(F53/240)/D53</f>
        <v>3.257918552036199</v>
      </c>
      <c r="R53" s="12">
        <f>(1000/373.242/D53)*(F53/240)</f>
        <v>8.728702964929454</v>
      </c>
      <c r="S53" s="4">
        <f>(R53-R51)/R51</f>
        <v>-0.7737556561085973</v>
      </c>
      <c r="T53" s="10">
        <f>(R53/$R$23)*100</f>
        <v>226.01813991776248</v>
      </c>
    </row>
    <row r="54" ht="12.75">
      <c r="G54" s="12"/>
    </row>
    <row r="55" spans="1:20" ht="12.75">
      <c r="A55" s="7" t="s">
        <v>52</v>
      </c>
      <c r="B55" s="23">
        <v>4</v>
      </c>
      <c r="C55" s="23">
        <v>0</v>
      </c>
      <c r="D55" s="8">
        <f>(B55/12)+(C55/240)</f>
        <v>0.3333333333333333</v>
      </c>
      <c r="E55" s="6">
        <f>5400/G55</f>
        <v>540</v>
      </c>
      <c r="F55" s="10">
        <f>M55*240</f>
        <v>576</v>
      </c>
      <c r="G55" s="12">
        <f>5760/F55</f>
        <v>10</v>
      </c>
      <c r="H55" s="12">
        <f>373.242/F55</f>
        <v>0.6479895833333333</v>
      </c>
      <c r="I55" s="12">
        <f>H55*D55</f>
        <v>0.21599652777777778</v>
      </c>
      <c r="J55" s="4">
        <f>(I55-I53)/I53</f>
        <v>-0.5475113122171946</v>
      </c>
      <c r="K55" s="12">
        <f>I55*240</f>
        <v>51.83916666666667</v>
      </c>
      <c r="L55" s="12">
        <f>K55/0.925</f>
        <v>56.042342342342344</v>
      </c>
      <c r="M55" s="22">
        <f>48/20</f>
        <v>2.4</v>
      </c>
      <c r="N55" s="22">
        <f>F55/240*(0.925/D55)</f>
        <v>6.660000000000001</v>
      </c>
      <c r="O55">
        <v>133</v>
      </c>
      <c r="P55" s="10">
        <v>2.4</v>
      </c>
      <c r="Q55" s="26">
        <f>(F55/240)/D55</f>
        <v>7.2</v>
      </c>
      <c r="R55" s="12">
        <f>(1000/373.242/D55)*(F55/240)</f>
        <v>19.290433552494093</v>
      </c>
      <c r="S55" s="4">
        <f>(R55-R53)/R53</f>
        <v>1.21</v>
      </c>
      <c r="T55" s="10">
        <f>(R55/$R$23)*100</f>
        <v>499.5000892182551</v>
      </c>
    </row>
    <row r="56" ht="12.75">
      <c r="G56" s="12"/>
    </row>
    <row r="57" spans="1:20" ht="12.75">
      <c r="A57" s="7" t="s">
        <v>55</v>
      </c>
      <c r="B57" s="23">
        <v>4</v>
      </c>
      <c r="C57" s="23">
        <v>0</v>
      </c>
      <c r="D57" s="8">
        <f>(B57/12)+(C57/240)</f>
        <v>0.3333333333333333</v>
      </c>
      <c r="E57" s="6">
        <f>5400/G57</f>
        <v>450</v>
      </c>
      <c r="F57" s="10">
        <f>M57*240</f>
        <v>480</v>
      </c>
      <c r="G57" s="12">
        <f>5760/F57</f>
        <v>12</v>
      </c>
      <c r="H57" s="12">
        <f>373.242/F57</f>
        <v>0.7775875</v>
      </c>
      <c r="I57" s="12">
        <f>H57*D57</f>
        <v>0.2591958333333333</v>
      </c>
      <c r="J57" s="4">
        <f>(I57-I55)/I55</f>
        <v>0.1999999999999998</v>
      </c>
      <c r="K57" s="12">
        <f>I57*240</f>
        <v>62.206999999999994</v>
      </c>
      <c r="L57" s="12">
        <f>K57/0.925</f>
        <v>67.2508108108108</v>
      </c>
      <c r="M57" s="22">
        <f>40/20</f>
        <v>2</v>
      </c>
      <c r="N57" s="22">
        <f>F57/240*(0.925/D57)</f>
        <v>5.550000000000001</v>
      </c>
      <c r="O57">
        <v>111</v>
      </c>
      <c r="P57" s="10">
        <v>0</v>
      </c>
      <c r="Q57" s="26">
        <f>(F57/240)/D57</f>
        <v>6</v>
      </c>
      <c r="R57" s="12">
        <f>(1000/373.242/D57)*(F57/240)</f>
        <v>16.07536129374508</v>
      </c>
      <c r="S57" s="4">
        <f>(R57-R55)/R55</f>
        <v>-0.1666666666666666</v>
      </c>
      <c r="T57" s="10">
        <f>(R57/$R$23)*100</f>
        <v>416.2500743485459</v>
      </c>
    </row>
    <row r="58" spans="1:20" ht="12.75">
      <c r="A58" s="7" t="s">
        <v>55</v>
      </c>
      <c r="B58" s="23">
        <v>3</v>
      </c>
      <c r="C58" s="23">
        <v>0</v>
      </c>
      <c r="D58" s="8">
        <f>(B58/12)+(C58/240)</f>
        <v>0.25</v>
      </c>
      <c r="E58" s="6">
        <f>5400/G58</f>
        <v>405</v>
      </c>
      <c r="F58" s="10">
        <f>M58*240</f>
        <v>432</v>
      </c>
      <c r="G58" s="12">
        <f>5760/F58</f>
        <v>13.333333333333334</v>
      </c>
      <c r="H58" s="12">
        <f>373.242/F58</f>
        <v>0.8639861111111111</v>
      </c>
      <c r="I58" s="12">
        <f>H58*D58</f>
        <v>0.21599652777777778</v>
      </c>
      <c r="K58" s="12">
        <f>I58*240</f>
        <v>51.83916666666667</v>
      </c>
      <c r="L58" s="12">
        <f>K58/0.925</f>
        <v>56.042342342342344</v>
      </c>
      <c r="M58" s="22">
        <f>36/20</f>
        <v>1.8</v>
      </c>
      <c r="N58" s="22">
        <f>F58/240*(0.925/D58)</f>
        <v>6.66</v>
      </c>
      <c r="O58">
        <v>133</v>
      </c>
      <c r="P58" s="10">
        <v>2.4</v>
      </c>
      <c r="Q58" s="26">
        <f>(F58/240)/D58</f>
        <v>7.2</v>
      </c>
      <c r="R58" s="12">
        <f>(1000/373.242/D58)*(F58/240)</f>
        <v>19.290433552494093</v>
      </c>
      <c r="S58" s="4">
        <f>(R58-R57)/R57</f>
        <v>0.1999999999999999</v>
      </c>
      <c r="T58" s="10">
        <f>(R58/$R$23)*100</f>
        <v>499.5000892182551</v>
      </c>
    </row>
    <row r="59" ht="12.75">
      <c r="G59" s="12"/>
    </row>
    <row r="60" spans="1:20" ht="12.75">
      <c r="A60" s="7" t="s">
        <v>54</v>
      </c>
      <c r="B60" s="23">
        <v>11</v>
      </c>
      <c r="C60" s="23">
        <v>0</v>
      </c>
      <c r="D60" s="8">
        <f>(B60/12)+(C60/240)</f>
        <v>0.9166666666666666</v>
      </c>
      <c r="E60" s="6">
        <f>5400/G60</f>
        <v>675</v>
      </c>
      <c r="F60" s="10">
        <f>M60*240</f>
        <v>720</v>
      </c>
      <c r="G60" s="12">
        <f>5760/F60</f>
        <v>8</v>
      </c>
      <c r="H60" s="12">
        <f>373.242/F60</f>
        <v>0.5183916666666667</v>
      </c>
      <c r="I60" s="12">
        <f>H60*D60</f>
        <v>0.47519236111111113</v>
      </c>
      <c r="J60" s="4">
        <f>(I60-I58)/I58</f>
        <v>1.2</v>
      </c>
      <c r="K60" s="12">
        <f>I60*240</f>
        <v>114.04616666666666</v>
      </c>
      <c r="L60" s="12">
        <f>K60/0.925</f>
        <v>123.29315315315314</v>
      </c>
      <c r="M60" s="22">
        <f>60/20</f>
        <v>3</v>
      </c>
      <c r="N60" s="22">
        <f>F60/240*(0.925/D60)</f>
        <v>3.027272727272728</v>
      </c>
      <c r="O60">
        <v>60</v>
      </c>
      <c r="P60" s="10">
        <v>6.55</v>
      </c>
      <c r="Q60" s="26">
        <f>(F60/240)/D60</f>
        <v>3.272727272727273</v>
      </c>
      <c r="R60" s="12">
        <f>(1000/373.242/D60)*(F60/240)</f>
        <v>8.768378887497313</v>
      </c>
      <c r="S60" s="4">
        <f>(R60-R58)/R58</f>
        <v>-0.5454545454545455</v>
      </c>
      <c r="T60" s="10">
        <f>(R60/$R$23)*100</f>
        <v>227.04549509920682</v>
      </c>
    </row>
    <row r="61" ht="12.75">
      <c r="G61" s="12"/>
    </row>
    <row r="62" spans="1:20" ht="12.75">
      <c r="A62" s="7" t="s">
        <v>56</v>
      </c>
      <c r="B62" s="23">
        <v>11</v>
      </c>
      <c r="C62" s="23">
        <v>0</v>
      </c>
      <c r="D62" s="8">
        <f>(B62/12)+(C62/240)</f>
        <v>0.9166666666666666</v>
      </c>
      <c r="E62" s="6">
        <f>5400/G62</f>
        <v>675</v>
      </c>
      <c r="F62" s="10">
        <f>M62*240</f>
        <v>720</v>
      </c>
      <c r="G62" s="12">
        <f>5760/F62</f>
        <v>8</v>
      </c>
      <c r="H62" s="12">
        <f>373.242/F62</f>
        <v>0.5183916666666667</v>
      </c>
      <c r="I62" s="12">
        <f>H62*D62</f>
        <v>0.47519236111111113</v>
      </c>
      <c r="J62" s="4">
        <f>(I62-I60)/I60</f>
        <v>0</v>
      </c>
      <c r="K62" s="12">
        <f>I62*240</f>
        <v>114.04616666666666</v>
      </c>
      <c r="L62" s="12">
        <f>K62/0.925</f>
        <v>123.29315315315314</v>
      </c>
      <c r="M62" s="22">
        <f>60/20</f>
        <v>3</v>
      </c>
      <c r="N62" s="22">
        <f>F62/240*(0.925/D62)</f>
        <v>3.027272727272728</v>
      </c>
      <c r="O62">
        <v>60</v>
      </c>
      <c r="P62" s="10">
        <v>6.55</v>
      </c>
      <c r="Q62" s="26">
        <f>(F62/240)/D62</f>
        <v>3.272727272727273</v>
      </c>
      <c r="R62" s="12">
        <f>(1000/373.242/D62)*(F62/240)</f>
        <v>8.768378887497313</v>
      </c>
      <c r="S62" s="4">
        <f>(R62-R60)/R60</f>
        <v>0</v>
      </c>
      <c r="T62" s="10">
        <f>(R62/$R$23)*100</f>
        <v>227.04549509920682</v>
      </c>
    </row>
    <row r="63" ht="12.75">
      <c r="G63" s="12"/>
    </row>
    <row r="64" spans="1:20" ht="12.75">
      <c r="A64" s="7" t="s">
        <v>58</v>
      </c>
      <c r="B64" s="23">
        <v>11</v>
      </c>
      <c r="C64" s="23">
        <v>2</v>
      </c>
      <c r="D64" s="8">
        <f>(B64/12)+(C64/240)</f>
        <v>0.9249999999999999</v>
      </c>
      <c r="E64" s="6">
        <f>5400/G64</f>
        <v>675</v>
      </c>
      <c r="F64" s="10">
        <f>M64*240</f>
        <v>720</v>
      </c>
      <c r="G64" s="12">
        <f>5760/F64</f>
        <v>8</v>
      </c>
      <c r="H64" s="12">
        <f>373.242/F64</f>
        <v>0.5183916666666667</v>
      </c>
      <c r="I64" s="12">
        <f>H64*D64</f>
        <v>0.47951229166666665</v>
      </c>
      <c r="J64" s="4">
        <f>(I64-I62)/I62</f>
        <v>0.00909090909090901</v>
      </c>
      <c r="K64" s="12">
        <f>I64*240</f>
        <v>115.08295</v>
      </c>
      <c r="L64" s="12">
        <f>K64/0.925</f>
        <v>124.41399999999999</v>
      </c>
      <c r="M64" s="22">
        <f>60/20</f>
        <v>3</v>
      </c>
      <c r="N64" s="22">
        <f>F64/240*(0.925/D64)</f>
        <v>3.000000000000001</v>
      </c>
      <c r="O64">
        <f>N64*20</f>
        <v>60.000000000000014</v>
      </c>
      <c r="P64" s="10">
        <v>0</v>
      </c>
      <c r="Q64" s="26">
        <f>(F64/240)/D64</f>
        <v>3.2432432432432434</v>
      </c>
      <c r="R64" s="12">
        <f>(1000/373.242/D64)*(F64/240)</f>
        <v>8.689384483105448</v>
      </c>
      <c r="S64" s="4">
        <f>(R64-R62)/R62</f>
        <v>-0.009009009009008766</v>
      </c>
      <c r="T64" s="10">
        <f>(R64/$R$23)*100</f>
        <v>225.00004018840323</v>
      </c>
    </row>
    <row r="65" ht="12.75">
      <c r="G65" s="12"/>
    </row>
    <row r="66" spans="1:20" ht="12.75">
      <c r="A66" s="7" t="s">
        <v>60</v>
      </c>
      <c r="B66" s="23">
        <v>11</v>
      </c>
      <c r="C66" s="23">
        <v>1</v>
      </c>
      <c r="D66" s="8">
        <f>(B66/12)+(C66/240)</f>
        <v>0.9208333333333333</v>
      </c>
      <c r="E66" s="6">
        <f>5400/G66</f>
        <v>677.8125</v>
      </c>
      <c r="F66" s="10">
        <f>M66*240</f>
        <v>723</v>
      </c>
      <c r="G66" s="12">
        <f>5760/F66</f>
        <v>7.966804979253112</v>
      </c>
      <c r="H66" s="12">
        <f>373.242/F66</f>
        <v>0.516240663900415</v>
      </c>
      <c r="I66" s="12">
        <f>H66*D66</f>
        <v>0.47537161134163214</v>
      </c>
      <c r="J66" s="4">
        <f>(I66-I64)/I64</f>
        <v>-0.008635191207805168</v>
      </c>
      <c r="K66" s="12">
        <f>I66*240</f>
        <v>114.08918672199171</v>
      </c>
      <c r="L66" s="12">
        <f>K66/0.925</f>
        <v>123.33966132107211</v>
      </c>
      <c r="M66" s="22">
        <f>(60+(3/12))/20</f>
        <v>3.0125</v>
      </c>
      <c r="N66" s="22">
        <f>F66/240*(0.925/D66)</f>
        <v>3.026131221719458</v>
      </c>
      <c r="O66">
        <v>60</v>
      </c>
      <c r="P66" s="10">
        <v>6.27</v>
      </c>
      <c r="Q66" s="26">
        <f>(F66/240)/D66</f>
        <v>3.2714932126696836</v>
      </c>
      <c r="R66" s="12">
        <f>(1000/373.242/D66)*(F66/240)</f>
        <v>8.76507256061666</v>
      </c>
      <c r="S66" s="4">
        <f>(R66-R64)/R64</f>
        <v>0.008710407239819046</v>
      </c>
      <c r="T66" s="10">
        <f>(R66/$R$23)*100</f>
        <v>226.95988216741986</v>
      </c>
    </row>
    <row r="67" ht="12.75">
      <c r="G67" s="12"/>
    </row>
    <row r="68" spans="1:20" ht="12.75">
      <c r="A68" s="7" t="s">
        <v>61</v>
      </c>
      <c r="B68" s="23">
        <v>11</v>
      </c>
      <c r="C68" s="23">
        <v>2</v>
      </c>
      <c r="D68" s="8">
        <f>(B68/12)+(C68/240)</f>
        <v>0.9249999999999999</v>
      </c>
      <c r="E68" s="6">
        <f>5400/G68</f>
        <v>675</v>
      </c>
      <c r="F68" s="10">
        <f>M68*240</f>
        <v>720</v>
      </c>
      <c r="G68" s="12">
        <f>5760/F68</f>
        <v>8</v>
      </c>
      <c r="H68" s="12">
        <f>373.242/F68</f>
        <v>0.5183916666666667</v>
      </c>
      <c r="I68" s="12">
        <f>H68*D68</f>
        <v>0.47951229166666665</v>
      </c>
      <c r="J68" s="4">
        <f>(I68-I66)/I66</f>
        <v>0.008710407239818854</v>
      </c>
      <c r="K68" s="12">
        <f>I68*240</f>
        <v>115.08295</v>
      </c>
      <c r="L68" s="12">
        <f>K68/0.925</f>
        <v>124.41399999999999</v>
      </c>
      <c r="M68" s="22">
        <f>60/20</f>
        <v>3</v>
      </c>
      <c r="N68" s="22">
        <f>F68/240*(0.925/D68)</f>
        <v>3.000000000000001</v>
      </c>
      <c r="O68">
        <v>60</v>
      </c>
      <c r="P68" s="10">
        <v>0</v>
      </c>
      <c r="Q68" s="26">
        <f>(F68/240)/D68</f>
        <v>3.2432432432432434</v>
      </c>
      <c r="R68" s="12">
        <f>(1000/373.242/D68)*(F68/240)</f>
        <v>8.689384483105448</v>
      </c>
      <c r="S68" s="4">
        <f>(R68-R66)/R66</f>
        <v>-0.008635191207805358</v>
      </c>
      <c r="T68" s="10">
        <f>(R68/$R$23)*100</f>
        <v>225.00004018840323</v>
      </c>
    </row>
    <row r="69" ht="12.75">
      <c r="G69" s="12"/>
    </row>
    <row r="70" spans="1:20" ht="12.75">
      <c r="A70" s="7" t="s">
        <v>64</v>
      </c>
      <c r="B70" s="23">
        <v>11</v>
      </c>
      <c r="C70" s="23">
        <v>2</v>
      </c>
      <c r="D70" s="8">
        <f>(B70/12)+(C70/240)</f>
        <v>0.9249999999999999</v>
      </c>
      <c r="E70" s="6">
        <f>5400/G70</f>
        <v>697.5</v>
      </c>
      <c r="F70" s="10">
        <f>M70*240</f>
        <v>744</v>
      </c>
      <c r="G70" s="12">
        <f>5760/F70</f>
        <v>7.741935483870968</v>
      </c>
      <c r="H70" s="12">
        <f>373.242/F70</f>
        <v>0.5016693548387097</v>
      </c>
      <c r="I70" s="12">
        <f>H70*D70</f>
        <v>0.4640441532258064</v>
      </c>
      <c r="J70" s="4">
        <f>(I70-I68)/I68</f>
        <v>-0.03225806451612912</v>
      </c>
      <c r="K70" s="12">
        <f>I70*240</f>
        <v>111.37059677419353</v>
      </c>
      <c r="L70" s="12">
        <f>K70/0.925</f>
        <v>120.4006451612903</v>
      </c>
      <c r="M70" s="22">
        <f>62/20</f>
        <v>3.1</v>
      </c>
      <c r="N70" s="22">
        <f>F70/240*(0.925/D70)</f>
        <v>3.100000000000001</v>
      </c>
      <c r="O70">
        <v>62</v>
      </c>
      <c r="P70" s="10">
        <v>0</v>
      </c>
      <c r="Q70" s="26">
        <f>(F70/240)/D70</f>
        <v>3.3513513513513518</v>
      </c>
      <c r="R70" s="12">
        <f>(1000/373.242/D70)*(F70/240)</f>
        <v>8.979030632542296</v>
      </c>
      <c r="S70" s="4">
        <f>(R70-R68)/R68</f>
        <v>0.03333333333333331</v>
      </c>
      <c r="T70" s="10">
        <f>(R70/$R$23)*100</f>
        <v>232.50004152801665</v>
      </c>
    </row>
    <row r="71" ht="12.75">
      <c r="G71" s="12"/>
    </row>
    <row r="72" spans="1:20" ht="12.75">
      <c r="A72" s="7" t="s">
        <v>78</v>
      </c>
      <c r="B72" s="23">
        <v>11</v>
      </c>
      <c r="C72" s="23">
        <v>2</v>
      </c>
      <c r="D72" s="8">
        <f>(B72/12)+(C72/240)</f>
        <v>0.9249999999999999</v>
      </c>
      <c r="E72" s="6">
        <f>5400/G72</f>
        <v>742.5</v>
      </c>
      <c r="F72" s="10">
        <f>M72*240</f>
        <v>792</v>
      </c>
      <c r="G72" s="12">
        <f>5760/F72</f>
        <v>7.2727272727272725</v>
      </c>
      <c r="H72" s="12">
        <f>373.242/F72</f>
        <v>0.4712651515151515</v>
      </c>
      <c r="I72" s="12">
        <f>H72*D72</f>
        <v>0.4359202651515151</v>
      </c>
      <c r="J72" s="4">
        <f>(I72-I70)/I70</f>
        <v>-0.06060606060606057</v>
      </c>
      <c r="K72" s="12">
        <f>I72*240</f>
        <v>104.62086363636362</v>
      </c>
      <c r="L72" s="12">
        <f>K72/0.925</f>
        <v>113.10363636363634</v>
      </c>
      <c r="M72" s="22">
        <f>66/20</f>
        <v>3.3</v>
      </c>
      <c r="N72" s="22">
        <f>F72/240*(0.925/D72)</f>
        <v>3.3000000000000007</v>
      </c>
      <c r="O72">
        <v>66</v>
      </c>
      <c r="P72" s="10">
        <v>0</v>
      </c>
      <c r="Q72" s="26">
        <f>(F72/240)/D72</f>
        <v>3.5675675675675675</v>
      </c>
      <c r="R72" s="12">
        <f>(1000/373.242/D72)*(F72/240)</f>
        <v>9.558322931415992</v>
      </c>
      <c r="S72" s="4">
        <f>(R72-R70)/R70</f>
        <v>0.06451612903225802</v>
      </c>
      <c r="T72" s="10">
        <f>(R72/$R$23)*100</f>
        <v>247.50004420724352</v>
      </c>
    </row>
    <row r="73" ht="12.75">
      <c r="G73" s="12"/>
    </row>
    <row r="74" ht="12.75">
      <c r="G74" s="12"/>
    </row>
    <row r="75" spans="1:7" ht="12.75">
      <c r="A75" s="7" t="s">
        <v>187</v>
      </c>
      <c r="G75" s="12"/>
    </row>
    <row r="77" spans="1:4" ht="12.75">
      <c r="A77" s="7" t="s">
        <v>17</v>
      </c>
      <c r="D77" s="16" t="s">
        <v>238</v>
      </c>
    </row>
    <row r="79" spans="1:4" ht="12.75">
      <c r="A79" s="7" t="s">
        <v>20</v>
      </c>
      <c r="D79" s="16" t="s">
        <v>179</v>
      </c>
    </row>
    <row r="80" ht="12.75">
      <c r="D80" s="16" t="s">
        <v>81</v>
      </c>
    </row>
    <row r="82" spans="1:4" ht="12.75">
      <c r="A82" s="7" t="s">
        <v>40</v>
      </c>
      <c r="D82" s="16" t="s">
        <v>157</v>
      </c>
    </row>
    <row r="84" ht="12.75">
      <c r="D84" s="16" t="s">
        <v>234</v>
      </c>
    </row>
    <row r="86" spans="1:10" ht="12.75">
      <c r="A86" s="7">
        <v>1696</v>
      </c>
      <c r="D86" s="6" t="s">
        <v>142</v>
      </c>
      <c r="E86" s="10"/>
      <c r="G86" s="12"/>
      <c r="I86" s="4"/>
      <c r="J86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I19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9.140625" defaultRowHeight="12.75"/>
  <cols>
    <col min="1" max="1" width="10.57421875" style="1" customWidth="1"/>
    <col min="2" max="2" width="20.28125" style="0" customWidth="1"/>
    <col min="3" max="3" width="9.57421875" style="17" customWidth="1"/>
    <col min="4" max="4" width="11.8515625" style="10" customWidth="1"/>
    <col min="5" max="5" width="16.8515625" style="16" customWidth="1"/>
    <col min="6" max="12" width="13.8515625" style="12" customWidth="1"/>
    <col min="13" max="14" width="10.28125" style="12" customWidth="1"/>
    <col min="15" max="16" width="10.28125" style="17" customWidth="1"/>
    <col min="17" max="17" width="8.7109375" style="10" customWidth="1"/>
    <col min="18" max="18" width="8.7109375" style="12" customWidth="1"/>
    <col min="19" max="21" width="12.140625" style="12" customWidth="1"/>
    <col min="22" max="22" width="10.7109375" style="12" customWidth="1"/>
    <col min="23" max="23" width="13.00390625" style="12" customWidth="1"/>
    <col min="24" max="24" width="13.00390625" style="4" customWidth="1"/>
    <col min="25" max="25" width="11.57421875" style="10" customWidth="1"/>
    <col min="26" max="26" width="11.57421875" style="0" customWidth="1"/>
    <col min="27" max="27" width="11.7109375" style="0" customWidth="1"/>
    <col min="28" max="28" width="8.421875" style="3" customWidth="1"/>
    <col min="29" max="33" width="8.421875" style="0" customWidth="1"/>
    <col min="34" max="34" width="11.7109375" style="0" customWidth="1"/>
  </cols>
  <sheetData>
    <row r="1" ht="12.75">
      <c r="D1" s="14" t="s">
        <v>99</v>
      </c>
    </row>
    <row r="3" spans="1:28" ht="12.75">
      <c r="A3" s="1" t="s">
        <v>120</v>
      </c>
      <c r="B3" s="1" t="s">
        <v>176</v>
      </c>
      <c r="C3" s="18" t="s">
        <v>135</v>
      </c>
      <c r="D3" s="15" t="s">
        <v>136</v>
      </c>
      <c r="E3" s="20" t="s">
        <v>204</v>
      </c>
      <c r="F3" s="14" t="s">
        <v>180</v>
      </c>
      <c r="G3" s="14" t="s">
        <v>180</v>
      </c>
      <c r="H3" s="14" t="s">
        <v>180</v>
      </c>
      <c r="I3" s="14" t="s">
        <v>258</v>
      </c>
      <c r="J3" s="14" t="s">
        <v>258</v>
      </c>
      <c r="K3" s="14" t="s">
        <v>258</v>
      </c>
      <c r="L3" s="14" t="s">
        <v>258</v>
      </c>
      <c r="M3" s="14" t="s">
        <v>258</v>
      </c>
      <c r="N3" s="14" t="s">
        <v>153</v>
      </c>
      <c r="O3" s="18" t="s">
        <v>184</v>
      </c>
      <c r="P3" s="18" t="s">
        <v>197</v>
      </c>
      <c r="Q3" s="15"/>
      <c r="R3" s="14"/>
      <c r="S3" s="14" t="s">
        <v>185</v>
      </c>
      <c r="T3" s="14" t="s">
        <v>185</v>
      </c>
      <c r="U3" s="14" t="s">
        <v>185</v>
      </c>
      <c r="V3" s="14" t="s">
        <v>184</v>
      </c>
      <c r="W3" s="14" t="s">
        <v>153</v>
      </c>
      <c r="X3" s="5" t="s">
        <v>204</v>
      </c>
      <c r="Y3" s="15" t="s">
        <v>173</v>
      </c>
      <c r="Z3" s="1"/>
      <c r="AA3" s="14" t="s">
        <v>184</v>
      </c>
      <c r="AB3" s="2" t="s">
        <v>147</v>
      </c>
    </row>
    <row r="4" spans="3:28" ht="12.75">
      <c r="C4" s="18" t="s">
        <v>159</v>
      </c>
      <c r="D4" s="15" t="s">
        <v>150</v>
      </c>
      <c r="E4" s="20" t="s">
        <v>133</v>
      </c>
      <c r="F4" s="14" t="s">
        <v>247</v>
      </c>
      <c r="G4" s="14" t="s">
        <v>247</v>
      </c>
      <c r="H4" s="14" t="s">
        <v>249</v>
      </c>
      <c r="I4" s="14" t="s">
        <v>144</v>
      </c>
      <c r="J4" s="14" t="s">
        <v>144</v>
      </c>
      <c r="K4" s="14" t="s">
        <v>144</v>
      </c>
      <c r="L4" s="14" t="s">
        <v>144</v>
      </c>
      <c r="M4" s="14" t="s">
        <v>144</v>
      </c>
      <c r="N4" s="14" t="s">
        <v>209</v>
      </c>
      <c r="O4" s="18" t="s">
        <v>254</v>
      </c>
      <c r="P4" s="18" t="s">
        <v>222</v>
      </c>
      <c r="Q4" s="15" t="s">
        <v>200</v>
      </c>
      <c r="R4" s="14" t="s">
        <v>121</v>
      </c>
      <c r="S4" s="14" t="s">
        <v>253</v>
      </c>
      <c r="T4" s="14" t="s">
        <v>253</v>
      </c>
      <c r="U4" s="14" t="s">
        <v>253</v>
      </c>
      <c r="V4" s="14" t="s">
        <v>254</v>
      </c>
      <c r="W4" s="14" t="s">
        <v>209</v>
      </c>
      <c r="X4" s="5" t="s">
        <v>109</v>
      </c>
      <c r="Y4" s="15" t="s">
        <v>256</v>
      </c>
      <c r="Z4" s="1"/>
      <c r="AA4" s="14" t="s">
        <v>254</v>
      </c>
      <c r="AB4" s="2" t="s">
        <v>223</v>
      </c>
    </row>
    <row r="5" spans="4:28" ht="12.75">
      <c r="D5" s="15" t="s">
        <v>130</v>
      </c>
      <c r="E5" s="20" t="s">
        <v>85</v>
      </c>
      <c r="F5" s="14" t="s">
        <v>90</v>
      </c>
      <c r="G5" s="14" t="s">
        <v>90</v>
      </c>
      <c r="H5" s="14" t="s">
        <v>91</v>
      </c>
      <c r="I5" s="14" t="s">
        <v>110</v>
      </c>
      <c r="J5" s="14" t="s">
        <v>110</v>
      </c>
      <c r="K5" s="14" t="s">
        <v>110</v>
      </c>
      <c r="L5" s="14" t="s">
        <v>110</v>
      </c>
      <c r="M5" s="14" t="s">
        <v>110</v>
      </c>
      <c r="N5" s="14" t="s">
        <v>166</v>
      </c>
      <c r="O5" s="18" t="s">
        <v>236</v>
      </c>
      <c r="P5" s="18"/>
      <c r="Q5" s="15" t="s">
        <v>111</v>
      </c>
      <c r="R5" s="14" t="s">
        <v>9</v>
      </c>
      <c r="S5" s="14" t="s">
        <v>245</v>
      </c>
      <c r="T5" s="14" t="s">
        <v>245</v>
      </c>
      <c r="U5" s="14" t="s">
        <v>248</v>
      </c>
      <c r="V5" s="14" t="s">
        <v>175</v>
      </c>
      <c r="W5" s="14" t="s">
        <v>168</v>
      </c>
      <c r="X5" s="5" t="s">
        <v>207</v>
      </c>
      <c r="Y5" s="15" t="s">
        <v>29</v>
      </c>
      <c r="Z5" s="1"/>
      <c r="AA5" s="14" t="s">
        <v>175</v>
      </c>
      <c r="AB5" s="2" t="s">
        <v>213</v>
      </c>
    </row>
    <row r="6" spans="4:27" ht="12.75">
      <c r="D6" s="15" t="s">
        <v>149</v>
      </c>
      <c r="F6" s="14" t="s">
        <v>94</v>
      </c>
      <c r="G6" s="14" t="s">
        <v>94</v>
      </c>
      <c r="H6" s="14" t="s">
        <v>96</v>
      </c>
      <c r="I6" s="14" t="s">
        <v>169</v>
      </c>
      <c r="J6" s="14" t="s">
        <v>169</v>
      </c>
      <c r="K6" s="14" t="s">
        <v>169</v>
      </c>
      <c r="L6" s="14" t="s">
        <v>247</v>
      </c>
      <c r="M6" t="s">
        <v>249</v>
      </c>
      <c r="N6" s="14" t="s">
        <v>145</v>
      </c>
      <c r="O6" s="18" t="s">
        <v>162</v>
      </c>
      <c r="P6" s="18"/>
      <c r="Q6" s="15" t="s">
        <v>200</v>
      </c>
      <c r="R6" s="14"/>
      <c r="S6" s="14" t="s">
        <v>7</v>
      </c>
      <c r="T6" s="14" t="s">
        <v>7</v>
      </c>
      <c r="U6" s="14" t="s">
        <v>7</v>
      </c>
      <c r="V6" s="14" t="s">
        <v>209</v>
      </c>
      <c r="W6" s="14" t="s">
        <v>233</v>
      </c>
      <c r="X6" s="5" t="s">
        <v>112</v>
      </c>
      <c r="Y6" s="15">
        <f>100</f>
        <v>100</v>
      </c>
      <c r="Z6" s="1"/>
      <c r="AA6" s="14" t="s">
        <v>210</v>
      </c>
    </row>
    <row r="7" spans="6:27" ht="12.75">
      <c r="F7" s="14" t="s">
        <v>148</v>
      </c>
      <c r="G7" s="14" t="s">
        <v>148</v>
      </c>
      <c r="H7" s="14" t="s">
        <v>148</v>
      </c>
      <c r="I7" s="14" t="s">
        <v>148</v>
      </c>
      <c r="J7" s="14" t="s">
        <v>148</v>
      </c>
      <c r="K7" s="14" t="s">
        <v>199</v>
      </c>
      <c r="L7" s="14" t="s">
        <v>151</v>
      </c>
      <c r="M7" s="14" t="s">
        <v>151</v>
      </c>
      <c r="AA7" s="12"/>
    </row>
    <row r="9" spans="1:35" ht="12.75">
      <c r="A9" s="1" t="s">
        <v>16</v>
      </c>
      <c r="B9" t="s">
        <v>146</v>
      </c>
      <c r="C9" s="17">
        <v>23</v>
      </c>
      <c r="D9" s="10">
        <v>3.5</v>
      </c>
      <c r="E9" s="16">
        <f>(C9+D9/4)/24</f>
        <v>0.9947916666666666</v>
      </c>
      <c r="F9" s="12">
        <v>121</v>
      </c>
      <c r="G9" s="12">
        <f>H9*0.9375</f>
        <v>120.99997838757366</v>
      </c>
      <c r="H9" s="12">
        <f>F9*(373.242/349.9144375)</f>
        <v>129.0666436134119</v>
      </c>
      <c r="I9" s="12">
        <f>5400/F9</f>
        <v>44.62809917355372</v>
      </c>
      <c r="J9" s="12">
        <f>5760/H9</f>
        <v>44.62810714480726</v>
      </c>
      <c r="K9" s="12">
        <f>J9/480</f>
        <v>0.09297522321834846</v>
      </c>
      <c r="L9" s="12">
        <f>349.9144375/F9</f>
        <v>2.891854855371901</v>
      </c>
      <c r="M9" s="12">
        <f>373.242/H9</f>
        <v>2.8918548553719012</v>
      </c>
      <c r="N9" s="12">
        <f>M9*E9</f>
        <v>2.8767931113335057</v>
      </c>
      <c r="O9" s="17">
        <f>(P9*12)+Q9</f>
        <v>20</v>
      </c>
      <c r="P9" s="17">
        <v>1</v>
      </c>
      <c r="Q9" s="10">
        <v>8</v>
      </c>
      <c r="R9" s="12">
        <f>(P9/20)+(Q9/240)</f>
        <v>0.08333333333333334</v>
      </c>
      <c r="S9" s="12">
        <f>(F9*O9)/240</f>
        <v>10.083333333333334</v>
      </c>
      <c r="T9" s="12">
        <f>F9*R9</f>
        <v>10.083333333333334</v>
      </c>
      <c r="U9" s="11">
        <f>H9*R9</f>
        <v>10.755553634450994</v>
      </c>
      <c r="V9" s="12">
        <f>(1000/349.9144/0.9947917)*S9</f>
        <v>28.967442651146854</v>
      </c>
      <c r="W9" s="12">
        <f>240/O9*N9</f>
        <v>34.52151733600207</v>
      </c>
      <c r="Y9" s="10">
        <f>(V9/$V$17)*100</f>
        <v>67.22222222222223</v>
      </c>
      <c r="AA9" s="12">
        <v>3.1013347190682095</v>
      </c>
      <c r="AB9" s="3">
        <f>V9/AA9</f>
        <v>9.340314824144512</v>
      </c>
      <c r="AH9" s="7" t="s">
        <v>17</v>
      </c>
      <c r="AI9" s="12">
        <v>3.1013347190682095</v>
      </c>
    </row>
    <row r="10" spans="27:35" ht="12.75">
      <c r="AA10" s="12"/>
      <c r="AH10" s="7"/>
      <c r="AI10" s="12"/>
    </row>
    <row r="11" spans="1:35" ht="12.75">
      <c r="A11" s="1" t="s">
        <v>21</v>
      </c>
      <c r="B11" t="s">
        <v>123</v>
      </c>
      <c r="C11" s="17">
        <v>23</v>
      </c>
      <c r="D11" s="10">
        <v>3.5</v>
      </c>
      <c r="E11" s="16">
        <f>(C11+D11/4)/24</f>
        <v>0.9947916666666666</v>
      </c>
      <c r="F11" s="12">
        <f>S11/R11</f>
        <v>50</v>
      </c>
      <c r="G11" s="12">
        <f>H11*0.9375</f>
        <v>49.99999106924532</v>
      </c>
      <c r="H11" s="12">
        <f>F11*(373.242/349.9144375)</f>
        <v>53.33332380719501</v>
      </c>
      <c r="I11" s="12">
        <f>5400/F11</f>
        <v>108</v>
      </c>
      <c r="J11" s="12">
        <f>5760/H11</f>
        <v>108.00001929043356</v>
      </c>
      <c r="K11" s="12">
        <f>J11/480</f>
        <v>0.22500004018840325</v>
      </c>
      <c r="L11" s="12">
        <f>349.9144375/F11</f>
        <v>6.99828875</v>
      </c>
      <c r="M11" s="12">
        <f>373.242/H11</f>
        <v>6.99828875</v>
      </c>
      <c r="N11" s="12">
        <f>M11*E11</f>
        <v>6.961839329427083</v>
      </c>
      <c r="O11" s="17">
        <f>(P11*12)+Q11</f>
        <v>72</v>
      </c>
      <c r="P11" s="17">
        <v>6</v>
      </c>
      <c r="Q11" s="10">
        <v>0</v>
      </c>
      <c r="R11" s="12">
        <f>(P11/20)+(Q11/240)</f>
        <v>0.3</v>
      </c>
      <c r="S11" s="12">
        <v>15</v>
      </c>
      <c r="T11" s="12">
        <f>F11*R11</f>
        <v>15</v>
      </c>
      <c r="U11" s="11">
        <f>H11*R11</f>
        <v>15.999997142158502</v>
      </c>
      <c r="V11" s="12">
        <f>(1000/349.9144/0.9947917)*S11</f>
        <v>43.09206344798705</v>
      </c>
      <c r="W11" s="12">
        <f>240/O11*N11</f>
        <v>23.206131098090278</v>
      </c>
      <c r="X11" s="4">
        <f>(W11-W9)/W9</f>
        <v>-0.32777777777777783</v>
      </c>
      <c r="Y11" s="10">
        <f>(V11/$V$17)*100</f>
        <v>100</v>
      </c>
      <c r="AA11" s="12">
        <v>3.1013347190682095</v>
      </c>
      <c r="AB11" s="3">
        <f>V11/AA11</f>
        <v>13.894683209471175</v>
      </c>
      <c r="AH11" s="7"/>
      <c r="AI11" s="12"/>
    </row>
    <row r="12" spans="27:35" ht="12.75">
      <c r="AA12" s="12"/>
      <c r="AH12" s="7"/>
      <c r="AI12" s="12"/>
    </row>
    <row r="13" spans="1:35" ht="12.75">
      <c r="A13" s="1" t="s">
        <v>22</v>
      </c>
      <c r="B13" t="s">
        <v>183</v>
      </c>
      <c r="C13" s="17">
        <v>23</v>
      </c>
      <c r="D13" s="10">
        <v>3.5</v>
      </c>
      <c r="E13" s="16">
        <f>(C13+D13/4)/24</f>
        <v>0.9947916666666666</v>
      </c>
      <c r="F13" s="12">
        <f>S13/R13</f>
        <v>39.50000000000001</v>
      </c>
      <c r="G13" s="12">
        <f>H13*0.9375</f>
        <v>39.49999294470381</v>
      </c>
      <c r="H13" s="12">
        <f>F13*(373.242/349.9144375)</f>
        <v>42.133325807684066</v>
      </c>
      <c r="I13" s="12">
        <f>5400/F13</f>
        <v>136.70886075949366</v>
      </c>
      <c r="J13" s="12">
        <f>5760/H13</f>
        <v>136.70888517776396</v>
      </c>
      <c r="K13" s="12">
        <f>J13/480</f>
        <v>0.28481017745367493</v>
      </c>
      <c r="L13" s="12">
        <f>349.9144375/F13</f>
        <v>8.85859335443038</v>
      </c>
      <c r="M13" s="12">
        <f>373.242/H13</f>
        <v>8.858593354430377</v>
      </c>
      <c r="N13" s="12">
        <f>M13*E13</f>
        <v>8.812454847376053</v>
      </c>
      <c r="O13" s="17">
        <f>(P13*12)+Q13</f>
        <v>80</v>
      </c>
      <c r="P13" s="17">
        <v>6</v>
      </c>
      <c r="Q13" s="10">
        <v>8</v>
      </c>
      <c r="R13" s="12">
        <f>(P13/20)+(Q13/240)</f>
        <v>0.3333333333333333</v>
      </c>
      <c r="S13" s="12">
        <f>13+(3/20)+(4/240)</f>
        <v>13.166666666666668</v>
      </c>
      <c r="T13" s="12">
        <f>F13*R13</f>
        <v>13.166666666666668</v>
      </c>
      <c r="U13" s="11">
        <f>H13*R13</f>
        <v>14.044441935894689</v>
      </c>
      <c r="V13" s="12">
        <f>(1000/349.9144/0.9947917)*S13</f>
        <v>37.82525569323308</v>
      </c>
      <c r="W13" s="12">
        <f>240/O13*N13</f>
        <v>26.437364542128158</v>
      </c>
      <c r="X13" s="4">
        <f>(W13-W11)/W11</f>
        <v>0.1392405063291136</v>
      </c>
      <c r="Y13" s="10">
        <f>(V13/$V$17)*100</f>
        <v>87.77777777777779</v>
      </c>
      <c r="AA13" s="12">
        <v>3.4242605328286815</v>
      </c>
      <c r="AB13" s="3">
        <f>V13/AA13</f>
        <v>11.04625519308449</v>
      </c>
      <c r="AH13" s="7" t="s">
        <v>23</v>
      </c>
      <c r="AI13" s="12">
        <v>3.4242605328286815</v>
      </c>
    </row>
    <row r="14" spans="27:35" ht="12.75">
      <c r="AA14" s="12"/>
      <c r="AH14" s="7"/>
      <c r="AI14" s="12"/>
    </row>
    <row r="15" spans="1:35" ht="12.75">
      <c r="A15" s="1" t="s">
        <v>25</v>
      </c>
      <c r="B15" t="s">
        <v>183</v>
      </c>
      <c r="C15" s="17">
        <v>23</v>
      </c>
      <c r="D15" s="10">
        <v>3.5</v>
      </c>
      <c r="E15" s="16">
        <f>(C15+D15/4)/24</f>
        <v>0.9947916666666666</v>
      </c>
      <c r="F15" s="12">
        <f>S15/R15</f>
        <v>42</v>
      </c>
      <c r="G15" s="12">
        <f>H15*0.9375</f>
        <v>41.99999249816607</v>
      </c>
      <c r="H15" s="12">
        <f>F15*(373.242/349.9144375)</f>
        <v>44.79999199804381</v>
      </c>
      <c r="I15" s="12">
        <f>5400/F15</f>
        <v>128.57142857142858</v>
      </c>
      <c r="J15" s="12">
        <f>5760/H15</f>
        <v>128.57145153623043</v>
      </c>
      <c r="K15" s="12">
        <f>J15/480</f>
        <v>0.26785719070048003</v>
      </c>
      <c r="L15" s="12">
        <f>349.9144375/F15</f>
        <v>8.331296130952381</v>
      </c>
      <c r="M15" s="12">
        <f>373.242/H15</f>
        <v>8.331296130952381</v>
      </c>
      <c r="N15" s="12">
        <f>M15*E15</f>
        <v>8.287903963603672</v>
      </c>
      <c r="O15" s="17">
        <f>(P15*12)+Q15</f>
        <v>80</v>
      </c>
      <c r="P15" s="17">
        <v>6</v>
      </c>
      <c r="Q15" s="10">
        <v>8</v>
      </c>
      <c r="R15" s="12">
        <f>(P15/20)+(Q15/240)</f>
        <v>0.3333333333333333</v>
      </c>
      <c r="S15" s="12">
        <v>14</v>
      </c>
      <c r="T15" s="12">
        <f>F15*R15</f>
        <v>14</v>
      </c>
      <c r="U15" s="11">
        <f>H15*R15</f>
        <v>14.933330666014601</v>
      </c>
      <c r="V15" s="12">
        <f>(1000/349.9144/0.9947917)*S15</f>
        <v>40.21925921812125</v>
      </c>
      <c r="W15" s="12">
        <f>240/O15*N15</f>
        <v>24.863711890811015</v>
      </c>
      <c r="X15" s="4">
        <f>(W15-W13)/W13</f>
        <v>-0.05952380952380919</v>
      </c>
      <c r="Y15" s="10">
        <f>(V15/$V$17)*100</f>
        <v>93.33333333333334</v>
      </c>
      <c r="AA15" s="12">
        <v>3.4757531724200903</v>
      </c>
      <c r="AB15" s="3">
        <f>V15/AA15</f>
        <v>11.57137956091326</v>
      </c>
      <c r="AH15" s="7" t="s">
        <v>26</v>
      </c>
      <c r="AI15" s="12">
        <v>3.4757531724200903</v>
      </c>
    </row>
    <row r="16" spans="27:35" ht="12.75">
      <c r="AA16" s="12"/>
      <c r="AH16" s="7"/>
      <c r="AI16" s="12"/>
    </row>
    <row r="17" spans="1:35" ht="12.75">
      <c r="A17" s="1" t="s">
        <v>27</v>
      </c>
      <c r="B17" t="s">
        <v>183</v>
      </c>
      <c r="C17" s="17">
        <v>23</v>
      </c>
      <c r="D17" s="10">
        <v>3.5</v>
      </c>
      <c r="E17" s="16">
        <f>(C17+D17/4)/24</f>
        <v>0.9947916666666666</v>
      </c>
      <c r="F17" s="12">
        <f>S17/R17</f>
        <v>45</v>
      </c>
      <c r="G17" s="12">
        <f>H17*0.9375</f>
        <v>44.99999196232079</v>
      </c>
      <c r="H17" s="12">
        <f>F17*(373.242/349.9144375)</f>
        <v>47.99999142647551</v>
      </c>
      <c r="I17" s="12">
        <f>5400/F17</f>
        <v>120</v>
      </c>
      <c r="J17" s="12">
        <f>5760/H17</f>
        <v>120.00002143381505</v>
      </c>
      <c r="K17" s="12">
        <f>J17/480</f>
        <v>0.25000004465378134</v>
      </c>
      <c r="L17" s="12">
        <f>349.9144375/F17</f>
        <v>7.775876388888889</v>
      </c>
      <c r="M17" s="12">
        <f>373.242/H17</f>
        <v>7.775876388888888</v>
      </c>
      <c r="N17" s="12">
        <f>M17*E17</f>
        <v>7.735377032696759</v>
      </c>
      <c r="O17" s="17">
        <f>(P17*12)+Q17</f>
        <v>80</v>
      </c>
      <c r="P17" s="17">
        <v>6</v>
      </c>
      <c r="Q17" s="10">
        <v>8</v>
      </c>
      <c r="R17" s="12">
        <f>(P17/20)+(Q17/240)</f>
        <v>0.3333333333333333</v>
      </c>
      <c r="S17" s="12">
        <v>15</v>
      </c>
      <c r="T17" s="12">
        <f>F17*R17</f>
        <v>15</v>
      </c>
      <c r="U17" s="11">
        <f>H17*R17</f>
        <v>15.999997142158502</v>
      </c>
      <c r="V17" s="12">
        <f>(1000/349.9144/0.9947917)*S17</f>
        <v>43.09206344798705</v>
      </c>
      <c r="W17" s="12">
        <f>240/O17*N17</f>
        <v>23.206131098090275</v>
      </c>
      <c r="X17" s="4">
        <f>(W17-W15)/W15</f>
        <v>-0.0666666666666669</v>
      </c>
      <c r="Y17" s="10">
        <f>(V17/$V$17)*100</f>
        <v>100</v>
      </c>
      <c r="AA17" s="12">
        <v>3.861947969355656</v>
      </c>
      <c r="AB17" s="3">
        <f>V17/AA17</f>
        <v>11.158116005166356</v>
      </c>
      <c r="AH17" s="7" t="s">
        <v>27</v>
      </c>
      <c r="AI17" s="12">
        <v>3.861947969355656</v>
      </c>
    </row>
    <row r="18" spans="27:35" ht="12.75">
      <c r="AA18" s="12"/>
      <c r="AH18" s="7"/>
      <c r="AI18" s="12"/>
    </row>
    <row r="19" spans="1:35" ht="12.75">
      <c r="A19" s="1" t="s">
        <v>30</v>
      </c>
      <c r="B19" t="s">
        <v>183</v>
      </c>
      <c r="C19" s="17">
        <v>23</v>
      </c>
      <c r="D19" s="10">
        <v>3.5</v>
      </c>
      <c r="E19" s="16">
        <f>(C19+D19/4)/24</f>
        <v>0.9947916666666666</v>
      </c>
      <c r="F19" s="12">
        <f>S19/R19</f>
        <v>49.99999999999999</v>
      </c>
      <c r="G19" s="12">
        <f>H19*0.9375</f>
        <v>49.99999106924531</v>
      </c>
      <c r="H19" s="12">
        <f>F19*(373.242/349.9144375)</f>
        <v>53.333323807195</v>
      </c>
      <c r="I19" s="12">
        <f>5400/F19</f>
        <v>108.00000000000001</v>
      </c>
      <c r="J19" s="12">
        <f>5760/H19</f>
        <v>108.00001929043357</v>
      </c>
      <c r="K19" s="12">
        <f>J19/480</f>
        <v>0.22500004018840328</v>
      </c>
      <c r="L19" s="12">
        <f>349.9144375/F19</f>
        <v>6.998288750000001</v>
      </c>
      <c r="M19" s="12">
        <f>373.242/H19</f>
        <v>6.998288750000001</v>
      </c>
      <c r="N19" s="12">
        <f>M19*E19</f>
        <v>6.961839329427084</v>
      </c>
      <c r="O19" s="17">
        <f>(P19*12)+Q19</f>
        <v>80</v>
      </c>
      <c r="P19" s="17">
        <v>6</v>
      </c>
      <c r="Q19" s="10">
        <v>8</v>
      </c>
      <c r="R19" s="12">
        <f>(P19/20)+(Q19/240)</f>
        <v>0.3333333333333333</v>
      </c>
      <c r="S19" s="12">
        <f>16+(13/20)+(4/240)</f>
        <v>16.666666666666664</v>
      </c>
      <c r="T19" s="12">
        <f>F19*R19</f>
        <v>16.666666666666664</v>
      </c>
      <c r="U19" s="11">
        <f>H19*R19</f>
        <v>17.77777460239833</v>
      </c>
      <c r="V19" s="12">
        <f>(1000/349.9144/0.9947917)*S19</f>
        <v>47.880070497763384</v>
      </c>
      <c r="W19" s="12">
        <f>240/O19*N19</f>
        <v>20.88551798828125</v>
      </c>
      <c r="X19" s="4">
        <f>(W19-W17)/W17</f>
        <v>-0.09999999999999985</v>
      </c>
      <c r="Y19" s="10">
        <f>(V19/$V$17)*100</f>
        <v>111.1111111111111</v>
      </c>
      <c r="AA19" s="12">
        <v>4.6343375632267865</v>
      </c>
      <c r="AB19" s="3">
        <f>V19/AA19</f>
        <v>10.331588893672551</v>
      </c>
      <c r="AH19" s="7" t="s">
        <v>31</v>
      </c>
      <c r="AI19" s="12">
        <v>4.6343375632267865</v>
      </c>
    </row>
    <row r="20" spans="27:35" ht="12.75">
      <c r="AA20" s="12"/>
      <c r="AH20" s="7"/>
      <c r="AI20" s="12"/>
    </row>
    <row r="21" spans="1:35" ht="12.75">
      <c r="A21" s="1" t="s">
        <v>32</v>
      </c>
      <c r="B21" t="s">
        <v>183</v>
      </c>
      <c r="C21" s="17">
        <v>23</v>
      </c>
      <c r="D21" s="10">
        <v>3.5</v>
      </c>
      <c r="E21" s="16">
        <f>(C21+D21/4)/24</f>
        <v>0.9947916666666666</v>
      </c>
      <c r="F21" s="12">
        <f>S21/R21</f>
        <v>50</v>
      </c>
      <c r="G21" s="12">
        <f>H21*0.9375</f>
        <v>49.99999106924532</v>
      </c>
      <c r="H21" s="12">
        <f>F21*(373.242/349.9144375)</f>
        <v>53.33332380719501</v>
      </c>
      <c r="I21" s="12">
        <f>5400/F21</f>
        <v>108</v>
      </c>
      <c r="J21" s="12">
        <f>5760/H21</f>
        <v>108.00001929043356</v>
      </c>
      <c r="K21" s="12">
        <f>J21/480</f>
        <v>0.22500004018840325</v>
      </c>
      <c r="L21" s="12">
        <f>349.9144375/F21</f>
        <v>6.99828875</v>
      </c>
      <c r="M21" s="12">
        <f>373.242/H21</f>
        <v>6.99828875</v>
      </c>
      <c r="N21" s="12">
        <f>M21*E21</f>
        <v>6.961839329427083</v>
      </c>
      <c r="O21" s="17">
        <f>(P21*12)+Q21</f>
        <v>100</v>
      </c>
      <c r="P21" s="17">
        <v>8</v>
      </c>
      <c r="Q21" s="10">
        <v>4</v>
      </c>
      <c r="R21" s="12">
        <f>(P21/20)+(Q21/240)</f>
        <v>0.4166666666666667</v>
      </c>
      <c r="S21" s="12">
        <f>20+(16/20)+(8/240)</f>
        <v>20.833333333333336</v>
      </c>
      <c r="T21" s="12">
        <f>F21*R21</f>
        <v>20.833333333333336</v>
      </c>
      <c r="U21" s="11">
        <f>H21*R21</f>
        <v>22.22221825299792</v>
      </c>
      <c r="V21" s="12">
        <f>(1000/349.9144/0.9947917)*S21</f>
        <v>59.85008812220425</v>
      </c>
      <c r="W21" s="12">
        <f>(240/O21)*N21</f>
        <v>16.708414390625</v>
      </c>
      <c r="X21" s="4">
        <f>(W21-W19)/W19</f>
        <v>-0.2000000000000001</v>
      </c>
      <c r="Y21" s="10">
        <f>(V21/$V$17)*100</f>
        <v>138.8888888888889</v>
      </c>
      <c r="AA21" s="12">
        <v>5.792921954033484</v>
      </c>
      <c r="AB21" s="3">
        <f>V21/AA21</f>
        <v>10.331588893672553</v>
      </c>
      <c r="AH21" s="7" t="s">
        <v>32</v>
      </c>
      <c r="AI21" s="12">
        <v>5.792921954033484</v>
      </c>
    </row>
    <row r="22" spans="21:35" ht="12.75">
      <c r="U22" s="11"/>
      <c r="AA22" s="12"/>
      <c r="AH22" s="7"/>
      <c r="AI22" s="12"/>
    </row>
    <row r="23" spans="1:35" ht="12.75">
      <c r="A23" s="1" t="s">
        <v>33</v>
      </c>
      <c r="B23" t="s">
        <v>221</v>
      </c>
      <c r="C23" s="17">
        <v>23</v>
      </c>
      <c r="D23" s="10">
        <v>3.5</v>
      </c>
      <c r="E23" s="16">
        <f>(C23+D23/4)/24</f>
        <v>0.9947916666666666</v>
      </c>
      <c r="F23" s="12">
        <f>S23/R23</f>
        <v>45</v>
      </c>
      <c r="G23" s="12">
        <f>H23*0.9375</f>
        <v>44.99999196232079</v>
      </c>
      <c r="H23" s="12">
        <f>F23*(373.242/349.9144375)</f>
        <v>47.99999142647551</v>
      </c>
      <c r="I23" s="12">
        <f>5400/F23</f>
        <v>120</v>
      </c>
      <c r="J23" s="12">
        <f>5760/H23</f>
        <v>120.00002143381505</v>
      </c>
      <c r="K23" s="12">
        <f>J23/480</f>
        <v>0.25000004465378134</v>
      </c>
      <c r="L23" s="12">
        <f>349.9144375/F23</f>
        <v>7.775876388888889</v>
      </c>
      <c r="M23" s="12">
        <f>373.242/H23</f>
        <v>7.775876388888888</v>
      </c>
      <c r="N23" s="12">
        <f>M23*E23</f>
        <v>7.735377032696759</v>
      </c>
      <c r="O23" s="17">
        <f>(P23*12)+Q23</f>
        <v>120</v>
      </c>
      <c r="P23" s="17">
        <v>10</v>
      </c>
      <c r="Q23" s="10">
        <v>0</v>
      </c>
      <c r="R23" s="12">
        <f>(P23/20)+(Q23/240)</f>
        <v>0.5</v>
      </c>
      <c r="S23" s="12">
        <v>22.5</v>
      </c>
      <c r="T23" s="12">
        <f>F23*R23</f>
        <v>22.5</v>
      </c>
      <c r="U23" s="11">
        <f>H23*R23</f>
        <v>23.999995713237755</v>
      </c>
      <c r="V23" s="12">
        <f>(1000/349.9144/0.9947917)*S23</f>
        <v>64.63809517198058</v>
      </c>
      <c r="W23" s="12">
        <f>(240/O23)*N23</f>
        <v>15.470754065393518</v>
      </c>
      <c r="X23" s="4">
        <f>(W23-W21)/W21</f>
        <v>-0.07407407407407404</v>
      </c>
      <c r="Y23" s="10">
        <f>(V23/$V$17)*100</f>
        <v>150</v>
      </c>
      <c r="AA23" s="12">
        <v>5.792921954033484</v>
      </c>
      <c r="AB23" s="3">
        <f>V23/AA23</f>
        <v>11.158116005166356</v>
      </c>
      <c r="AH23" s="7" t="s">
        <v>33</v>
      </c>
      <c r="AI23" s="12">
        <v>5.792921954033484</v>
      </c>
    </row>
    <row r="24" spans="1:35" ht="12.75">
      <c r="A24" s="1" t="s">
        <v>33</v>
      </c>
      <c r="B24" t="s">
        <v>104</v>
      </c>
      <c r="C24" s="17">
        <v>23</v>
      </c>
      <c r="D24" s="10">
        <v>3.5</v>
      </c>
      <c r="E24" s="16">
        <f>(C24+D24/4)/24</f>
        <v>0.9947916666666666</v>
      </c>
      <c r="F24" s="12">
        <f>S24/R24</f>
        <v>67.5</v>
      </c>
      <c r="G24" s="12">
        <f>H24*0.9375</f>
        <v>67.49998794348119</v>
      </c>
      <c r="H24" s="12">
        <f>F24*(373.242/349.9144375)</f>
        <v>71.99998713971327</v>
      </c>
      <c r="I24" s="12">
        <f>5400/F24</f>
        <v>80</v>
      </c>
      <c r="J24" s="12">
        <f>5760/H24</f>
        <v>80.00001428921003</v>
      </c>
      <c r="K24" s="12">
        <f>J24/480</f>
        <v>0.16666669643585422</v>
      </c>
      <c r="L24" s="12">
        <f>349.9144375/F24</f>
        <v>5.183917592592593</v>
      </c>
      <c r="M24" s="12">
        <f>373.242/H24</f>
        <v>5.183917592592592</v>
      </c>
      <c r="N24" s="12">
        <f>M24*E24</f>
        <v>5.156918021797838</v>
      </c>
      <c r="O24" s="17">
        <f>(P24*12)+Q24</f>
        <v>80</v>
      </c>
      <c r="P24" s="17">
        <v>6</v>
      </c>
      <c r="Q24" s="10">
        <v>8</v>
      </c>
      <c r="R24" s="12">
        <f>(P24/20)+(Q24/240)</f>
        <v>0.3333333333333333</v>
      </c>
      <c r="S24" s="12">
        <v>22.5</v>
      </c>
      <c r="T24" s="12">
        <f>F24*R24</f>
        <v>22.5</v>
      </c>
      <c r="U24" s="11">
        <f>H24*R24</f>
        <v>23.999995713237755</v>
      </c>
      <c r="V24" s="12">
        <f>(1000/349.9144/0.9947917)*S24</f>
        <v>64.63809517198058</v>
      </c>
      <c r="W24" s="12">
        <f>240/O24*N24</f>
        <v>15.470754065393514</v>
      </c>
      <c r="X24" s="4">
        <v>0.25925925925926</v>
      </c>
      <c r="Y24" s="10">
        <f>(V24/$V$17)*100</f>
        <v>150</v>
      </c>
      <c r="AA24" s="12">
        <v>5.792921954033484</v>
      </c>
      <c r="AB24" s="3">
        <f>V24/AA24</f>
        <v>11.158116005166356</v>
      </c>
      <c r="AH24" s="7"/>
      <c r="AI24" s="12"/>
    </row>
    <row r="25" spans="21:27" ht="12.75">
      <c r="U25" s="11"/>
      <c r="AA25" s="12"/>
    </row>
    <row r="26" spans="1:28" ht="12.75">
      <c r="A26" s="1" t="s">
        <v>34</v>
      </c>
      <c r="B26" t="s">
        <v>229</v>
      </c>
      <c r="C26" s="17">
        <v>23</v>
      </c>
      <c r="D26" s="10">
        <v>3.5</v>
      </c>
      <c r="E26" s="16">
        <f>(C26+D26/4)/24</f>
        <v>0.9947916666666666</v>
      </c>
      <c r="F26" s="12">
        <f>S26/R26</f>
        <v>22.5</v>
      </c>
      <c r="G26" s="12">
        <f>H26*0.9375</f>
        <v>22.499998392463986</v>
      </c>
      <c r="H26" s="12">
        <f>F26*(373.242/349.9144)</f>
        <v>23.999998285294918</v>
      </c>
      <c r="I26" s="12">
        <f>5400/F26</f>
        <v>240</v>
      </c>
      <c r="J26" s="12">
        <f>5760/H26</f>
        <v>240.00001714705203</v>
      </c>
      <c r="K26" s="12">
        <f>J26/480</f>
        <v>0.5000000357230251</v>
      </c>
      <c r="L26" s="12">
        <f>349.9144375/F26</f>
        <v>15.551752777777779</v>
      </c>
      <c r="M26" s="12">
        <f>373.242/H26</f>
        <v>15.55175111111111</v>
      </c>
      <c r="N26" s="12">
        <f>M26*E26</f>
        <v>15.470752407407407</v>
      </c>
      <c r="O26" s="17">
        <f>(P26*12)+Q26</f>
        <v>240</v>
      </c>
      <c r="P26" s="17">
        <v>20</v>
      </c>
      <c r="Q26" s="10">
        <v>0</v>
      </c>
      <c r="R26" s="12">
        <f>(P26/20)+(Q26/240)</f>
        <v>1</v>
      </c>
      <c r="S26" s="12">
        <v>22.5</v>
      </c>
      <c r="T26" s="12">
        <f>F26*R26</f>
        <v>22.5</v>
      </c>
      <c r="U26" s="11">
        <f>H26*R26</f>
        <v>23.999998285294918</v>
      </c>
      <c r="V26" s="12">
        <f>(1000/349.9144/0.9947917)*S26</f>
        <v>64.63809517198058</v>
      </c>
      <c r="W26" s="12">
        <f>240/O26*N26</f>
        <v>15.470752407407407</v>
      </c>
      <c r="X26" s="4">
        <f>(W26-W24)/W24</f>
        <v>-1.0716905591731704E-07</v>
      </c>
      <c r="Y26" s="10">
        <f>(V26/$V$17)*100</f>
        <v>150</v>
      </c>
      <c r="AA26" s="12">
        <v>5.792921954033484</v>
      </c>
      <c r="AB26" s="3">
        <f>V26/AA26</f>
        <v>11.158116005166356</v>
      </c>
    </row>
    <row r="27" spans="21:35" ht="12.75">
      <c r="U27" s="11"/>
      <c r="AA27" s="12"/>
      <c r="AH27" s="7"/>
      <c r="AI27" s="12"/>
    </row>
    <row r="28" spans="1:34" ht="12.75">
      <c r="A28" s="1" t="s">
        <v>35</v>
      </c>
      <c r="B28" t="s">
        <v>229</v>
      </c>
      <c r="C28" s="17">
        <v>23</v>
      </c>
      <c r="D28" s="10">
        <v>3.5</v>
      </c>
      <c r="E28" s="16">
        <f>(C28+D28/4)/24</f>
        <v>0.9947916666666666</v>
      </c>
      <c r="F28" s="12">
        <f>S28/R28</f>
        <v>22.499998392463986</v>
      </c>
      <c r="G28" s="12">
        <f>H28*0.9375</f>
        <v>22.499998392463986</v>
      </c>
      <c r="H28" s="12">
        <f>U28/R28</f>
        <v>23.999998285294918</v>
      </c>
      <c r="I28" s="12">
        <f>5400/F28</f>
        <v>240.00001714705203</v>
      </c>
      <c r="J28" s="12">
        <f>5760/H28</f>
        <v>240.00001714705203</v>
      </c>
      <c r="K28" s="12">
        <f>J28/480</f>
        <v>0.5000000357230251</v>
      </c>
      <c r="L28" s="12">
        <f>349.9144375/F28</f>
        <v>15.551753888889088</v>
      </c>
      <c r="M28" s="12">
        <f>373.242/H28</f>
        <v>15.55175111111111</v>
      </c>
      <c r="N28" s="12">
        <f>M28*E28</f>
        <v>15.470752407407407</v>
      </c>
      <c r="O28" s="17">
        <f>(P28*12)+Q28</f>
        <v>264</v>
      </c>
      <c r="P28">
        <v>22</v>
      </c>
      <c r="Q28" s="10">
        <v>0</v>
      </c>
      <c r="R28" s="12">
        <f>(P28/20)+(Q28/240)</f>
        <v>1.1</v>
      </c>
      <c r="S28" s="12">
        <f>5400/5760*U28</f>
        <v>24.749998231710386</v>
      </c>
      <c r="T28" s="12">
        <f>F28*R28</f>
        <v>24.749998231710386</v>
      </c>
      <c r="U28" s="11">
        <f>U26*1.1</f>
        <v>26.399998113824413</v>
      </c>
      <c r="V28" s="12">
        <f>(1000/349.9144/0.9947917)*S28</f>
        <v>71.10189960922875</v>
      </c>
      <c r="W28" s="12">
        <f>240/O28*N28</f>
        <v>14.06432037037037</v>
      </c>
      <c r="X28" s="4">
        <f>(W28-W26)/W26</f>
        <v>-0.09090909090909093</v>
      </c>
      <c r="Y28" s="10">
        <f>(V28/$V$17)*100</f>
        <v>164.99998821140258</v>
      </c>
      <c r="AA28" s="12">
        <v>5.792921954033484</v>
      </c>
      <c r="AB28" s="3">
        <f>V28/AA28</f>
        <v>12.273926728759408</v>
      </c>
      <c r="AH28" s="1" t="s">
        <v>35</v>
      </c>
    </row>
    <row r="29" spans="1:34" ht="12.75">
      <c r="A29" s="1" t="s">
        <v>35</v>
      </c>
      <c r="B29" t="s">
        <v>221</v>
      </c>
      <c r="C29" s="17">
        <v>23</v>
      </c>
      <c r="D29" s="10">
        <v>3.5</v>
      </c>
      <c r="E29" s="16">
        <f>(C29+D29/4)/24</f>
        <v>0.9947916666666666</v>
      </c>
      <c r="F29" s="12">
        <v>45</v>
      </c>
      <c r="G29" s="12">
        <f>H29*0.9375</f>
        <v>44.99999196232079</v>
      </c>
      <c r="H29" s="12">
        <f>F29*(373.242/349.9144375)</f>
        <v>47.99999142647551</v>
      </c>
      <c r="I29" s="12">
        <f>5400/F29</f>
        <v>120</v>
      </c>
      <c r="J29" s="12">
        <f>5760/H29</f>
        <v>120.00002143381505</v>
      </c>
      <c r="K29" s="12">
        <f>J29/480</f>
        <v>0.25000004465378134</v>
      </c>
      <c r="L29" s="12">
        <f>349.9144375/F29</f>
        <v>7.775876388888889</v>
      </c>
      <c r="M29" s="12">
        <f>373.242/H29</f>
        <v>7.775876388888888</v>
      </c>
      <c r="N29" s="12">
        <f>M29*E29</f>
        <v>7.735377032696759</v>
      </c>
      <c r="O29" s="17">
        <v>132</v>
      </c>
      <c r="P29" s="17">
        <v>11</v>
      </c>
      <c r="Q29" s="10">
        <v>0</v>
      </c>
      <c r="R29" s="12">
        <f>(P29/20)+(Q29/240)</f>
        <v>0.55</v>
      </c>
      <c r="S29" s="12">
        <v>24.750000000000004</v>
      </c>
      <c r="T29" s="12">
        <f>F29*R29</f>
        <v>24.750000000000004</v>
      </c>
      <c r="U29" s="11">
        <f>H29*R29</f>
        <v>26.399995284561534</v>
      </c>
      <c r="V29" s="12">
        <f>(1000/349.9144/0.9947917)*S29</f>
        <v>71.10190468917865</v>
      </c>
      <c r="W29" s="12">
        <f>240/O29*N29</f>
        <v>14.06432187763047</v>
      </c>
      <c r="Y29" s="10">
        <f>(V29/$V$17)*100</f>
        <v>165.00000000000003</v>
      </c>
      <c r="AA29" s="12">
        <v>5.792921954033484</v>
      </c>
      <c r="AB29" s="3">
        <f>V29/AA29</f>
        <v>12.273927605682994</v>
      </c>
      <c r="AH29" s="1" t="s">
        <v>35</v>
      </c>
    </row>
    <row r="30" spans="1:34" ht="12.75">
      <c r="A30" s="1" t="s">
        <v>35</v>
      </c>
      <c r="B30" t="s">
        <v>104</v>
      </c>
      <c r="C30" s="17">
        <v>23</v>
      </c>
      <c r="D30" s="10">
        <v>3.5</v>
      </c>
      <c r="E30" s="16">
        <f>(C30+D30/4)/24</f>
        <v>0.9947916666666666</v>
      </c>
      <c r="F30" s="12">
        <v>67.5</v>
      </c>
      <c r="G30" s="12">
        <f>H30*0.9375</f>
        <v>67.49998794348119</v>
      </c>
      <c r="H30" s="12">
        <f>F30*(373.242/349.9144375)</f>
        <v>71.99998713971327</v>
      </c>
      <c r="I30" s="12">
        <f>5400/F30</f>
        <v>80</v>
      </c>
      <c r="J30" s="12">
        <f>5760/H30</f>
        <v>80.00001428921003</v>
      </c>
      <c r="K30" s="12">
        <f>J30/480</f>
        <v>0.16666669643585422</v>
      </c>
      <c r="L30" s="12">
        <f>349.9144375/F30</f>
        <v>5.183917592592593</v>
      </c>
      <c r="M30" s="12">
        <f>373.242/H30</f>
        <v>5.183917592592592</v>
      </c>
      <c r="N30" s="12">
        <f>M30*E30</f>
        <v>5.156918021797838</v>
      </c>
      <c r="O30" s="17">
        <f>(P30*12)+Q30</f>
        <v>88</v>
      </c>
      <c r="P30" s="17">
        <v>7</v>
      </c>
      <c r="Q30" s="10">
        <v>4</v>
      </c>
      <c r="R30" s="12">
        <f>(P30/20)+(Q30/240)</f>
        <v>0.36666666666666664</v>
      </c>
      <c r="S30" s="12">
        <v>24.75</v>
      </c>
      <c r="T30" s="12">
        <f>F30*R30</f>
        <v>24.75</v>
      </c>
      <c r="U30" s="11">
        <f>H30*R30</f>
        <v>26.39999528456153</v>
      </c>
      <c r="V30" s="12">
        <f>(1000/349.9144/0.9947917)*S30</f>
        <v>71.10190468917864</v>
      </c>
      <c r="W30" s="12">
        <f>240/O30*N30</f>
        <v>14.064321877630467</v>
      </c>
      <c r="Y30" s="10">
        <f>(V30/$V$17)*100</f>
        <v>165</v>
      </c>
      <c r="AA30" s="12">
        <v>5.792921954033484</v>
      </c>
      <c r="AB30" s="3">
        <f>V30/AA30</f>
        <v>12.273927605682992</v>
      </c>
      <c r="AH30" s="1" t="s">
        <v>35</v>
      </c>
    </row>
    <row r="31" spans="1:34" ht="12.75">
      <c r="A31" s="1" t="s">
        <v>35</v>
      </c>
      <c r="B31" t="s">
        <v>119</v>
      </c>
      <c r="C31" s="17">
        <v>22</v>
      </c>
      <c r="D31" s="10">
        <v>0</v>
      </c>
      <c r="E31" s="16">
        <f>(C31+D31/4)/24</f>
        <v>0.9166666666666666</v>
      </c>
      <c r="F31" s="12">
        <v>100</v>
      </c>
      <c r="G31" s="12">
        <f>H31*0.9375</f>
        <v>100.00003125</v>
      </c>
      <c r="H31" s="12">
        <v>106.6667</v>
      </c>
      <c r="I31" s="14">
        <f>5400/F31</f>
        <v>54</v>
      </c>
      <c r="J31" s="12">
        <f>5760/H31</f>
        <v>53.99998312500527</v>
      </c>
      <c r="K31" s="12">
        <f>J31/480</f>
        <v>0.11249996484376099</v>
      </c>
      <c r="L31" s="12">
        <f>349.9144375/F31</f>
        <v>3.499144375</v>
      </c>
      <c r="M31" s="12">
        <f>373.242/H31</f>
        <v>3.49914265651792</v>
      </c>
      <c r="N31" s="12">
        <f>M31*E31</f>
        <v>3.2075474351414264</v>
      </c>
      <c r="O31" s="17">
        <f>(P31*12)+Q31</f>
        <v>54</v>
      </c>
      <c r="P31" s="17">
        <v>4</v>
      </c>
      <c r="Q31" s="10">
        <v>6</v>
      </c>
      <c r="R31" s="12">
        <f>(P31/20)+(Q31/240)</f>
        <v>0.225</v>
      </c>
      <c r="S31" s="12">
        <f>5400/5760*U31</f>
        <v>22.500007031250004</v>
      </c>
      <c r="T31" s="12">
        <f>F31*R31</f>
        <v>22.5</v>
      </c>
      <c r="U31" s="11">
        <f>H31*R31</f>
        <v>24.000007500000002</v>
      </c>
      <c r="V31" s="12">
        <f>(1000/349.9144/0.9947917)*S31</f>
        <v>64.63811537138534</v>
      </c>
      <c r="W31" s="12">
        <f>240/O31*N31</f>
        <v>14.25576637840634</v>
      </c>
      <c r="Y31" s="10">
        <f>(V31/$V$17)*100</f>
        <v>150.00004687500007</v>
      </c>
      <c r="AA31" s="12">
        <v>5.792921954033484</v>
      </c>
      <c r="AB31" s="3">
        <f>V31/AA31</f>
        <v>11.158119492077612</v>
      </c>
      <c r="AH31" s="1" t="s">
        <v>35</v>
      </c>
    </row>
    <row r="32" spans="21:27" ht="12.75">
      <c r="U32" s="11"/>
      <c r="AA32" s="12"/>
    </row>
    <row r="33" spans="1:35" ht="12.75">
      <c r="A33" s="1" t="s">
        <v>37</v>
      </c>
      <c r="B33" t="s">
        <v>229</v>
      </c>
      <c r="C33" s="17">
        <v>23</v>
      </c>
      <c r="D33" s="10">
        <v>3.5</v>
      </c>
      <c r="E33" s="16">
        <f aca="true" t="shared" si="0" ref="E33:E38">(C33+D33/4)/24</f>
        <v>0.9947916666666666</v>
      </c>
      <c r="F33" s="12">
        <f>S33/R33</f>
        <v>22.5</v>
      </c>
      <c r="G33" s="12">
        <f aca="true" t="shared" si="1" ref="G33:G38">H33*0.9375</f>
        <v>22.5</v>
      </c>
      <c r="H33" s="12">
        <f>U33/R33</f>
        <v>24</v>
      </c>
      <c r="I33" s="12">
        <f aca="true" t="shared" si="2" ref="I33:I38">5400/F33</f>
        <v>240</v>
      </c>
      <c r="J33" s="12">
        <f aca="true" t="shared" si="3" ref="J33:J38">5760/H33</f>
        <v>240</v>
      </c>
      <c r="K33" s="12">
        <f aca="true" t="shared" si="4" ref="K33:K38">J33/480</f>
        <v>0.5</v>
      </c>
      <c r="L33" s="12">
        <f aca="true" t="shared" si="5" ref="L33:L38">349.9144375/F33</f>
        <v>15.551752777777779</v>
      </c>
      <c r="M33" s="12">
        <f aca="true" t="shared" si="6" ref="M33:M38">373.242/H33</f>
        <v>15.55175</v>
      </c>
      <c r="N33" s="12">
        <f aca="true" t="shared" si="7" ref="N33:N38">M33*E33</f>
        <v>15.470751302083332</v>
      </c>
      <c r="O33" s="17">
        <f aca="true" t="shared" si="8" ref="O33:O38">(P33*12)+Q33</f>
        <v>270</v>
      </c>
      <c r="P33" s="17">
        <v>22</v>
      </c>
      <c r="Q33" s="10">
        <v>6</v>
      </c>
      <c r="R33" s="12">
        <f aca="true" t="shared" si="9" ref="R33:R38">(P33/20)+(Q33/240)</f>
        <v>1.125</v>
      </c>
      <c r="S33" s="12">
        <f aca="true" t="shared" si="10" ref="S33:S38">5400/5760*U33</f>
        <v>25.3125</v>
      </c>
      <c r="T33" s="12">
        <f aca="true" t="shared" si="11" ref="T33:T38">F33*R33</f>
        <v>25.3125</v>
      </c>
      <c r="U33" s="11">
        <v>27</v>
      </c>
      <c r="V33" s="12">
        <f aca="true" t="shared" si="12" ref="V33:V38">(1000/373.242/E33)*U33</f>
        <v>72.71786470050128</v>
      </c>
      <c r="W33" s="12">
        <f aca="true" t="shared" si="13" ref="W33:W38">240/O33*N33</f>
        <v>13.751778935185184</v>
      </c>
      <c r="X33" s="4">
        <f>(W33-W28)/W28</f>
        <v>-0.02222229208057742</v>
      </c>
      <c r="Y33" s="10">
        <f aca="true" t="shared" si="14" ref="Y33:Y38">(V33/$V$17)*100</f>
        <v>168.75001771097163</v>
      </c>
      <c r="AA33" s="12">
        <v>6.517037198287669</v>
      </c>
      <c r="AB33" s="3">
        <f aca="true" t="shared" si="15" ref="AB33:AB38">V33/AA33</f>
        <v>11.158117176254214</v>
      </c>
      <c r="AH33" s="7" t="s">
        <v>38</v>
      </c>
      <c r="AI33" s="12">
        <v>6.517037198287669</v>
      </c>
    </row>
    <row r="34" spans="1:35" ht="12.75">
      <c r="A34" s="1" t="s">
        <v>37</v>
      </c>
      <c r="B34" t="s">
        <v>221</v>
      </c>
      <c r="C34" s="17">
        <v>23</v>
      </c>
      <c r="D34" s="10">
        <v>3.5</v>
      </c>
      <c r="E34" s="16">
        <f t="shared" si="0"/>
        <v>0.9947916666666666</v>
      </c>
      <c r="F34" s="12">
        <f>S34/R34</f>
        <v>45</v>
      </c>
      <c r="G34" s="12">
        <f t="shared" si="1"/>
        <v>45</v>
      </c>
      <c r="H34" s="12">
        <f>U34/R34</f>
        <v>48</v>
      </c>
      <c r="I34" s="12">
        <f t="shared" si="2"/>
        <v>120</v>
      </c>
      <c r="J34" s="12">
        <f t="shared" si="3"/>
        <v>120</v>
      </c>
      <c r="K34" s="12">
        <f t="shared" si="4"/>
        <v>0.25</v>
      </c>
      <c r="L34" s="12">
        <f t="shared" si="5"/>
        <v>7.775876388888889</v>
      </c>
      <c r="M34" s="12">
        <f t="shared" si="6"/>
        <v>7.775875</v>
      </c>
      <c r="N34" s="12">
        <f t="shared" si="7"/>
        <v>7.735375651041666</v>
      </c>
      <c r="O34" s="17">
        <f t="shared" si="8"/>
        <v>135</v>
      </c>
      <c r="P34" s="17">
        <v>11</v>
      </c>
      <c r="Q34" s="10">
        <v>3</v>
      </c>
      <c r="R34" s="12">
        <f t="shared" si="9"/>
        <v>0.5625</v>
      </c>
      <c r="S34" s="12">
        <f t="shared" si="10"/>
        <v>25.3125</v>
      </c>
      <c r="T34" s="12">
        <f t="shared" si="11"/>
        <v>25.3125</v>
      </c>
      <c r="U34" s="11">
        <v>27</v>
      </c>
      <c r="V34" s="12">
        <f t="shared" si="12"/>
        <v>72.71786470050128</v>
      </c>
      <c r="W34" s="12">
        <f t="shared" si="13"/>
        <v>13.751778935185184</v>
      </c>
      <c r="Y34" s="10">
        <f t="shared" si="14"/>
        <v>168.75001771097163</v>
      </c>
      <c r="AA34" s="12">
        <v>6.517037198287669</v>
      </c>
      <c r="AB34" s="3">
        <f t="shared" si="15"/>
        <v>11.158117176254214</v>
      </c>
      <c r="AH34" s="7" t="s">
        <v>38</v>
      </c>
      <c r="AI34" s="12">
        <v>6.517037198287669</v>
      </c>
    </row>
    <row r="35" spans="1:35" ht="12.75">
      <c r="A35" s="1" t="s">
        <v>37</v>
      </c>
      <c r="B35" t="s">
        <v>104</v>
      </c>
      <c r="C35" s="17">
        <v>23</v>
      </c>
      <c r="D35" s="10">
        <v>3.5</v>
      </c>
      <c r="E35" s="16">
        <f t="shared" si="0"/>
        <v>0.9947916666666666</v>
      </c>
      <c r="F35" s="12">
        <v>67.5</v>
      </c>
      <c r="G35" s="12">
        <f t="shared" si="1"/>
        <v>67.5</v>
      </c>
      <c r="H35" s="12">
        <f>U35/R35</f>
        <v>72</v>
      </c>
      <c r="I35" s="12">
        <f t="shared" si="2"/>
        <v>80</v>
      </c>
      <c r="J35" s="12">
        <f t="shared" si="3"/>
        <v>80</v>
      </c>
      <c r="K35" s="12">
        <f t="shared" si="4"/>
        <v>0.16666666666666666</v>
      </c>
      <c r="L35" s="12">
        <f t="shared" si="5"/>
        <v>5.183917592592593</v>
      </c>
      <c r="M35" s="12">
        <f t="shared" si="6"/>
        <v>5.183916666666667</v>
      </c>
      <c r="N35" s="12">
        <f t="shared" si="7"/>
        <v>5.156917100694445</v>
      </c>
      <c r="O35" s="17">
        <f t="shared" si="8"/>
        <v>90</v>
      </c>
      <c r="P35" s="17">
        <v>7</v>
      </c>
      <c r="Q35" s="10">
        <v>6</v>
      </c>
      <c r="R35" s="12">
        <f t="shared" si="9"/>
        <v>0.375</v>
      </c>
      <c r="S35" s="12">
        <f t="shared" si="10"/>
        <v>25.3125</v>
      </c>
      <c r="T35" s="12">
        <f t="shared" si="11"/>
        <v>25.3125</v>
      </c>
      <c r="U35" s="11">
        <v>27</v>
      </c>
      <c r="V35" s="12">
        <f t="shared" si="12"/>
        <v>72.71786470050128</v>
      </c>
      <c r="W35" s="12">
        <f t="shared" si="13"/>
        <v>13.751778935185186</v>
      </c>
      <c r="Y35" s="10">
        <f t="shared" si="14"/>
        <v>168.75001771097163</v>
      </c>
      <c r="AA35" s="12">
        <v>6.517037198287669</v>
      </c>
      <c r="AB35" s="3">
        <f t="shared" si="15"/>
        <v>11.158117176254214</v>
      </c>
      <c r="AH35" s="7" t="s">
        <v>38</v>
      </c>
      <c r="AI35" s="12">
        <v>6.517037198287669</v>
      </c>
    </row>
    <row r="36" spans="1:28" ht="12.75">
      <c r="A36" s="1" t="s">
        <v>37</v>
      </c>
      <c r="B36" t="s">
        <v>231</v>
      </c>
      <c r="C36" s="17">
        <v>23</v>
      </c>
      <c r="D36" s="10">
        <v>3.5</v>
      </c>
      <c r="E36" s="16">
        <f t="shared" si="0"/>
        <v>0.9947916666666666</v>
      </c>
      <c r="F36" s="12">
        <v>75.9375054</v>
      </c>
      <c r="G36" s="12">
        <f t="shared" si="1"/>
        <v>75.9375</v>
      </c>
      <c r="H36" s="12">
        <f>U36/R36</f>
        <v>81</v>
      </c>
      <c r="I36" s="12">
        <f t="shared" si="2"/>
        <v>71.11110605432134</v>
      </c>
      <c r="J36" s="12">
        <f t="shared" si="3"/>
        <v>71.11111111111111</v>
      </c>
      <c r="K36" s="12">
        <f t="shared" si="4"/>
        <v>0.14814814814814817</v>
      </c>
      <c r="L36" s="12">
        <f t="shared" si="5"/>
        <v>4.607926421296425</v>
      </c>
      <c r="M36" s="12">
        <f t="shared" si="6"/>
        <v>4.607925925925926</v>
      </c>
      <c r="N36" s="12">
        <f t="shared" si="7"/>
        <v>4.583926311728395</v>
      </c>
      <c r="O36" s="17">
        <f t="shared" si="8"/>
        <v>80</v>
      </c>
      <c r="P36" s="17">
        <v>6</v>
      </c>
      <c r="Q36" s="10">
        <v>8</v>
      </c>
      <c r="R36" s="12">
        <f t="shared" si="9"/>
        <v>0.3333333333333333</v>
      </c>
      <c r="S36" s="12">
        <f t="shared" si="10"/>
        <v>25.3125</v>
      </c>
      <c r="T36" s="12">
        <f t="shared" si="11"/>
        <v>25.3125018</v>
      </c>
      <c r="U36" s="11">
        <v>27</v>
      </c>
      <c r="V36" s="12">
        <f t="shared" si="12"/>
        <v>72.71786470050128</v>
      </c>
      <c r="W36" s="12">
        <f t="shared" si="13"/>
        <v>13.751778935185186</v>
      </c>
      <c r="Y36" s="10">
        <f t="shared" si="14"/>
        <v>168.75001771097163</v>
      </c>
      <c r="AA36" s="12">
        <v>6.517037198287669</v>
      </c>
      <c r="AB36" s="3">
        <f t="shared" si="15"/>
        <v>11.158117176254214</v>
      </c>
    </row>
    <row r="37" spans="1:28" ht="12.75">
      <c r="A37" s="1" t="s">
        <v>37</v>
      </c>
      <c r="B37" t="s">
        <v>118</v>
      </c>
      <c r="C37" s="17">
        <v>22</v>
      </c>
      <c r="D37" s="10">
        <v>0</v>
      </c>
      <c r="E37" s="16">
        <f t="shared" si="0"/>
        <v>0.9166666666666666</v>
      </c>
      <c r="F37" s="12">
        <f>S37/R37</f>
        <v>94.21875</v>
      </c>
      <c r="G37" s="12">
        <f t="shared" si="1"/>
        <v>94.21875</v>
      </c>
      <c r="H37" s="12">
        <v>100.5</v>
      </c>
      <c r="I37" s="12">
        <f t="shared" si="2"/>
        <v>57.3134328358209</v>
      </c>
      <c r="J37" s="12">
        <f t="shared" si="3"/>
        <v>57.3134328358209</v>
      </c>
      <c r="K37" s="12">
        <f t="shared" si="4"/>
        <v>0.11940298507462686</v>
      </c>
      <c r="L37" s="12">
        <f t="shared" si="5"/>
        <v>3.713851409618574</v>
      </c>
      <c r="M37" s="12">
        <f t="shared" si="6"/>
        <v>3.713850746268657</v>
      </c>
      <c r="N37" s="12">
        <f t="shared" si="7"/>
        <v>3.4043631840796023</v>
      </c>
      <c r="O37" s="17">
        <f t="shared" si="8"/>
        <v>60</v>
      </c>
      <c r="P37" s="17">
        <v>5</v>
      </c>
      <c r="Q37" s="10">
        <v>0</v>
      </c>
      <c r="R37" s="12">
        <f t="shared" si="9"/>
        <v>0.25</v>
      </c>
      <c r="S37" s="12">
        <f t="shared" si="10"/>
        <v>23.5546875</v>
      </c>
      <c r="T37" s="12">
        <f t="shared" si="11"/>
        <v>23.5546875</v>
      </c>
      <c r="U37" s="11">
        <f>25+(2/20)+(6/240)</f>
        <v>25.125</v>
      </c>
      <c r="V37" s="12">
        <f t="shared" si="12"/>
        <v>73.43517318279001</v>
      </c>
      <c r="W37" s="12">
        <f t="shared" si="13"/>
        <v>13.617452736318409</v>
      </c>
      <c r="Y37" s="10">
        <f t="shared" si="14"/>
        <v>170.41461305613197</v>
      </c>
      <c r="AA37" s="12">
        <v>6.517037198287669</v>
      </c>
      <c r="AB37" s="3">
        <f t="shared" si="15"/>
        <v>11.268183830849527</v>
      </c>
    </row>
    <row r="38" spans="1:28" ht="12.75">
      <c r="A38" s="1" t="s">
        <v>37</v>
      </c>
      <c r="B38" t="s">
        <v>156</v>
      </c>
      <c r="C38" s="17">
        <v>22</v>
      </c>
      <c r="D38" s="10">
        <v>0</v>
      </c>
      <c r="E38" s="16">
        <f t="shared" si="0"/>
        <v>0.9166666666666666</v>
      </c>
      <c r="F38" s="12">
        <f>S38/R38</f>
        <v>188.4375</v>
      </c>
      <c r="G38" s="12">
        <f t="shared" si="1"/>
        <v>188.4375</v>
      </c>
      <c r="H38" s="12">
        <f>H37*2</f>
        <v>201</v>
      </c>
      <c r="I38" s="12">
        <f t="shared" si="2"/>
        <v>28.65671641791045</v>
      </c>
      <c r="J38" s="12">
        <f t="shared" si="3"/>
        <v>28.65671641791045</v>
      </c>
      <c r="K38" s="12">
        <f t="shared" si="4"/>
        <v>0.05970149253731343</v>
      </c>
      <c r="L38" s="12">
        <f t="shared" si="5"/>
        <v>1.856925704809287</v>
      </c>
      <c r="M38" s="12">
        <f t="shared" si="6"/>
        <v>1.8569253731343285</v>
      </c>
      <c r="N38" s="12">
        <f t="shared" si="7"/>
        <v>1.7021815920398011</v>
      </c>
      <c r="O38" s="17">
        <f t="shared" si="8"/>
        <v>30</v>
      </c>
      <c r="P38" s="17">
        <v>2</v>
      </c>
      <c r="Q38" s="10">
        <v>6</v>
      </c>
      <c r="R38" s="12">
        <f t="shared" si="9"/>
        <v>0.125</v>
      </c>
      <c r="S38" s="12">
        <f t="shared" si="10"/>
        <v>23.5546875</v>
      </c>
      <c r="T38" s="12">
        <f t="shared" si="11"/>
        <v>23.5546875</v>
      </c>
      <c r="U38" s="11">
        <f>25+(2/20)+(6/240)</f>
        <v>25.125</v>
      </c>
      <c r="V38" s="12">
        <f t="shared" si="12"/>
        <v>73.43517318279001</v>
      </c>
      <c r="W38" s="12">
        <f t="shared" si="13"/>
        <v>13.617452736318409</v>
      </c>
      <c r="Y38" s="10">
        <f t="shared" si="14"/>
        <v>170.41461305613197</v>
      </c>
      <c r="AA38" s="12">
        <v>6.517037198287669</v>
      </c>
      <c r="AB38" s="3">
        <f t="shared" si="15"/>
        <v>11.268183830849527</v>
      </c>
    </row>
    <row r="39" ht="12.75">
      <c r="U39" s="11"/>
    </row>
    <row r="40" spans="1:25" ht="12.75">
      <c r="A40" s="1" t="s">
        <v>41</v>
      </c>
      <c r="B40" t="s">
        <v>229</v>
      </c>
      <c r="C40" s="17">
        <v>23</v>
      </c>
      <c r="D40" s="10">
        <v>0</v>
      </c>
      <c r="E40" s="16">
        <f>(C40+D40/4)/24</f>
        <v>0.9583333333333334</v>
      </c>
      <c r="G40" s="12">
        <f>H40*0.9375</f>
        <v>27</v>
      </c>
      <c r="H40" s="12">
        <f>U40/R40</f>
        <v>28.8</v>
      </c>
      <c r="J40" s="12">
        <f>5760/H40</f>
        <v>200</v>
      </c>
      <c r="K40" s="12">
        <f>J40/480</f>
        <v>0.4166666666666667</v>
      </c>
      <c r="M40" s="12">
        <f>373.242/H40</f>
        <v>12.959791666666668</v>
      </c>
      <c r="N40" s="12">
        <f>M40*E40</f>
        <v>12.419800347222223</v>
      </c>
      <c r="O40" s="17">
        <f>(P40*12)+Q40</f>
        <v>240</v>
      </c>
      <c r="P40" s="17">
        <v>20</v>
      </c>
      <c r="Q40" s="10">
        <v>0</v>
      </c>
      <c r="R40" s="12">
        <f>(P40/20)+(Q40/240)</f>
        <v>1</v>
      </c>
      <c r="U40" s="11">
        <f>28+(16/20)</f>
        <v>28.8</v>
      </c>
      <c r="V40" s="12">
        <f>(1000/373.242/E40)*U40</f>
        <v>80.51659221910577</v>
      </c>
      <c r="W40" s="12">
        <f>240/O40*N40</f>
        <v>12.419800347222223</v>
      </c>
      <c r="X40" s="4">
        <f>(W40-W38)/W38</f>
        <v>-0.08794981060606062</v>
      </c>
      <c r="Y40" s="10">
        <f>(V40/$V$17)*100</f>
        <v>186.8478456973657</v>
      </c>
    </row>
    <row r="41" spans="1:25" ht="12.75">
      <c r="A41" s="1" t="s">
        <v>41</v>
      </c>
      <c r="B41" t="s">
        <v>221</v>
      </c>
      <c r="C41" s="17">
        <v>23</v>
      </c>
      <c r="D41" s="10">
        <v>0</v>
      </c>
      <c r="E41" s="16">
        <f>(C41+D41/4)/24</f>
        <v>0.9583333333333334</v>
      </c>
      <c r="G41" s="12">
        <f>H41*0.9375</f>
        <v>54</v>
      </c>
      <c r="H41" s="12">
        <f>U41/R41</f>
        <v>57.6</v>
      </c>
      <c r="J41" s="12">
        <f>5760/H41</f>
        <v>100</v>
      </c>
      <c r="K41" s="12">
        <f>J41/480</f>
        <v>0.20833333333333334</v>
      </c>
      <c r="M41" s="12">
        <f>373.242/H41</f>
        <v>6.479895833333334</v>
      </c>
      <c r="N41" s="12">
        <f>M41*E41</f>
        <v>6.2099001736111115</v>
      </c>
      <c r="O41" s="17">
        <f>(P41*12)+Q41</f>
        <v>120</v>
      </c>
      <c r="P41" s="17">
        <v>10</v>
      </c>
      <c r="Q41" s="10">
        <v>0</v>
      </c>
      <c r="R41" s="12">
        <f>(P41/20)+(Q41/240)</f>
        <v>0.5</v>
      </c>
      <c r="U41" s="11">
        <f>28+(16/20)</f>
        <v>28.8</v>
      </c>
      <c r="V41" s="12">
        <f>(1000/373.242/E41)*U41</f>
        <v>80.51659221910577</v>
      </c>
      <c r="W41" s="12">
        <f>240/O41*N41</f>
        <v>12.419800347222223</v>
      </c>
      <c r="Y41" s="10">
        <f>(V41/$V$17)*100</f>
        <v>186.8478456973657</v>
      </c>
    </row>
    <row r="42" spans="1:25" ht="12.75">
      <c r="A42" s="1" t="s">
        <v>41</v>
      </c>
      <c r="B42" t="s">
        <v>104</v>
      </c>
      <c r="C42" s="17">
        <v>23</v>
      </c>
      <c r="D42" s="10">
        <v>0</v>
      </c>
      <c r="E42" s="16">
        <f>(C42+D42/4)/24</f>
        <v>0.9583333333333334</v>
      </c>
      <c r="G42" s="12">
        <f>H42*0.9375</f>
        <v>67.5</v>
      </c>
      <c r="H42" s="12">
        <f>U42/R42</f>
        <v>72</v>
      </c>
      <c r="J42" s="12">
        <f>5760/H42</f>
        <v>80</v>
      </c>
      <c r="K42" s="12">
        <f>J42/480</f>
        <v>0.16666666666666666</v>
      </c>
      <c r="M42" s="12">
        <f>373.242/H42</f>
        <v>5.183916666666667</v>
      </c>
      <c r="N42" s="12">
        <f>M42*E42</f>
        <v>4.967920138888889</v>
      </c>
      <c r="O42" s="17">
        <f>(P42*12)+Q42</f>
        <v>96</v>
      </c>
      <c r="P42" s="17">
        <v>8</v>
      </c>
      <c r="Q42" s="10">
        <v>0</v>
      </c>
      <c r="R42" s="12">
        <f>(P42/20)+(Q42/240)</f>
        <v>0.4</v>
      </c>
      <c r="U42" s="11">
        <f>28+(16/20)</f>
        <v>28.8</v>
      </c>
      <c r="V42" s="12">
        <f>(1000/373.242/E42)*U42</f>
        <v>80.51659221910577</v>
      </c>
      <c r="W42" s="12">
        <f>240/O42*N42</f>
        <v>12.419800347222223</v>
      </c>
      <c r="Y42" s="10">
        <f>(V42/$V$17)*100</f>
        <v>186.8478456973657</v>
      </c>
    </row>
    <row r="43" ht="12.75">
      <c r="U43" s="11"/>
    </row>
    <row r="44" spans="1:25" ht="12.75">
      <c r="A44" s="1" t="s">
        <v>43</v>
      </c>
      <c r="B44" t="s">
        <v>229</v>
      </c>
      <c r="C44" s="17">
        <v>22</v>
      </c>
      <c r="D44" s="10">
        <v>0</v>
      </c>
      <c r="E44" s="16">
        <f>(C44+D44/4)/24</f>
        <v>0.9166666666666666</v>
      </c>
      <c r="G44" s="12">
        <f>H44*0.9375</f>
        <v>28.125</v>
      </c>
      <c r="H44" s="12">
        <f>U44/R44</f>
        <v>30</v>
      </c>
      <c r="J44" s="12">
        <f>5760/H44</f>
        <v>192</v>
      </c>
      <c r="K44" s="12">
        <f>J44/480</f>
        <v>0.4</v>
      </c>
      <c r="M44" s="12">
        <f>373.242/H44</f>
        <v>12.4414</v>
      </c>
      <c r="N44" s="12">
        <f>M44*E44</f>
        <v>11.404616666666666</v>
      </c>
      <c r="O44" s="17">
        <f>(P44*12)+Q44</f>
        <v>240</v>
      </c>
      <c r="P44" s="17">
        <v>20</v>
      </c>
      <c r="Q44" s="10">
        <v>0</v>
      </c>
      <c r="R44" s="12">
        <f>(P44/20)+(Q44/240)</f>
        <v>1</v>
      </c>
      <c r="U44" s="11">
        <v>30</v>
      </c>
      <c r="V44" s="12">
        <f>(1000/373.242/E44)*U44</f>
        <v>87.68378887497315</v>
      </c>
      <c r="W44" s="12">
        <f>240/O44*N44</f>
        <v>11.404616666666666</v>
      </c>
      <c r="X44" s="4">
        <f>(W44-W42)/W42</f>
        <v>-0.08173913043478273</v>
      </c>
      <c r="Y44" s="10">
        <f>(V44/$V$17)*100</f>
        <v>203.4801349923964</v>
      </c>
    </row>
    <row r="45" spans="1:25" ht="12.75">
      <c r="A45" s="1" t="s">
        <v>43</v>
      </c>
      <c r="B45" t="s">
        <v>221</v>
      </c>
      <c r="C45" s="17">
        <v>22</v>
      </c>
      <c r="D45" s="10">
        <v>0</v>
      </c>
      <c r="E45" s="16">
        <f>(C45+D45/4)/24</f>
        <v>0.9166666666666666</v>
      </c>
      <c r="G45" s="12">
        <f>H45*0.9375</f>
        <v>56.25</v>
      </c>
      <c r="H45" s="12">
        <f>U45/R45</f>
        <v>60</v>
      </c>
      <c r="J45" s="12">
        <f>5760/H45</f>
        <v>96</v>
      </c>
      <c r="K45" s="12">
        <f>J45/480</f>
        <v>0.2</v>
      </c>
      <c r="M45" s="12">
        <f>373.242/H45</f>
        <v>6.2207</v>
      </c>
      <c r="N45" s="12">
        <f>M45*E45</f>
        <v>5.702308333333333</v>
      </c>
      <c r="O45" s="17">
        <f>(P45*12)+Q45</f>
        <v>120</v>
      </c>
      <c r="P45" s="17">
        <v>10</v>
      </c>
      <c r="Q45" s="10">
        <v>0</v>
      </c>
      <c r="R45" s="12">
        <f>(P45/20)+(Q45/240)</f>
        <v>0.5</v>
      </c>
      <c r="U45" s="11">
        <v>30</v>
      </c>
      <c r="V45" s="12">
        <f>(1000/373.242/E45)*U45</f>
        <v>87.68378887497315</v>
      </c>
      <c r="W45" s="12">
        <f>240/O45*N45</f>
        <v>11.404616666666666</v>
      </c>
      <c r="Y45" s="10">
        <f>(V45/$V$17)*100</f>
        <v>203.4801349923964</v>
      </c>
    </row>
    <row r="46" spans="1:25" ht="12.75">
      <c r="A46" s="1" t="s">
        <v>43</v>
      </c>
      <c r="B46" t="s">
        <v>104</v>
      </c>
      <c r="C46" s="17">
        <v>22</v>
      </c>
      <c r="D46" s="10">
        <v>0</v>
      </c>
      <c r="E46" s="16">
        <f>(C46+D46/4)/24</f>
        <v>0.9166666666666666</v>
      </c>
      <c r="G46" s="12">
        <f>H46*0.9375</f>
        <v>70.3125</v>
      </c>
      <c r="H46" s="12">
        <f>U46/R46</f>
        <v>75</v>
      </c>
      <c r="J46" s="12">
        <f>5760/H46</f>
        <v>76.8</v>
      </c>
      <c r="K46" s="12">
        <f>J46/480</f>
        <v>0.16</v>
      </c>
      <c r="M46" s="12">
        <f>373.242/H46</f>
        <v>4.97656</v>
      </c>
      <c r="N46" s="12">
        <f>M46*E46</f>
        <v>4.561846666666667</v>
      </c>
      <c r="O46" s="17">
        <f>(P46*12)+Q46</f>
        <v>96</v>
      </c>
      <c r="P46" s="17">
        <v>8</v>
      </c>
      <c r="Q46" s="10">
        <v>0</v>
      </c>
      <c r="R46" s="12">
        <f>(P46/20)+(Q46/240)</f>
        <v>0.4</v>
      </c>
      <c r="U46" s="11">
        <v>30</v>
      </c>
      <c r="V46" s="12">
        <f>(1000/373.242/E46)*U46</f>
        <v>87.68378887497315</v>
      </c>
      <c r="W46" s="12">
        <f>240/O46*N46</f>
        <v>11.404616666666668</v>
      </c>
      <c r="Y46" s="10">
        <f>(V46/$V$17)*100</f>
        <v>203.4801349923964</v>
      </c>
    </row>
    <row r="47" ht="12.75">
      <c r="U47" s="11"/>
    </row>
    <row r="48" spans="1:25" ht="12.75">
      <c r="A48" s="1" t="s">
        <v>45</v>
      </c>
      <c r="B48" t="s">
        <v>229</v>
      </c>
      <c r="C48" s="17">
        <v>20</v>
      </c>
      <c r="D48" s="10">
        <v>0</v>
      </c>
      <c r="E48" s="16">
        <f>(C48+D48/4)/24</f>
        <v>0.8333333333333334</v>
      </c>
      <c r="G48" s="12">
        <f>H48*0.9375</f>
        <v>28.125</v>
      </c>
      <c r="H48" s="12">
        <f>U48/R48</f>
        <v>30</v>
      </c>
      <c r="J48" s="12">
        <f>5760/H48</f>
        <v>192</v>
      </c>
      <c r="K48" s="12">
        <f>J48/480</f>
        <v>0.4</v>
      </c>
      <c r="M48" s="12">
        <f>373.242/H48</f>
        <v>12.4414</v>
      </c>
      <c r="N48" s="12">
        <f>M48*E48</f>
        <v>10.367833333333333</v>
      </c>
      <c r="O48" s="17">
        <f>(P48*12)+Q48</f>
        <v>240</v>
      </c>
      <c r="P48" s="17">
        <v>20</v>
      </c>
      <c r="Q48" s="10">
        <v>0</v>
      </c>
      <c r="R48" s="12">
        <f>(P48/20)+(Q48/240)</f>
        <v>1</v>
      </c>
      <c r="U48" s="11">
        <v>30</v>
      </c>
      <c r="V48" s="12">
        <f>(1000/373.242/E48)*U48</f>
        <v>96.45216776247045</v>
      </c>
      <c r="W48" s="12">
        <f>240/O48*N48</f>
        <v>10.367833333333333</v>
      </c>
      <c r="X48" s="4">
        <f>(W48-W46)/W46</f>
        <v>-0.09090909090909097</v>
      </c>
      <c r="Y48" s="10">
        <f>(V48/$V$17)*100</f>
        <v>223.82814849163597</v>
      </c>
    </row>
    <row r="49" spans="1:25" ht="12.75">
      <c r="A49" s="1" t="s">
        <v>45</v>
      </c>
      <c r="B49" t="s">
        <v>221</v>
      </c>
      <c r="C49" s="17">
        <v>20</v>
      </c>
      <c r="D49" s="10">
        <v>0</v>
      </c>
      <c r="E49" s="16">
        <f>(C49+D49/4)/24</f>
        <v>0.8333333333333334</v>
      </c>
      <c r="G49" s="12">
        <f>H49*0.9375</f>
        <v>56.25</v>
      </c>
      <c r="H49" s="12">
        <f>U49/R49</f>
        <v>60</v>
      </c>
      <c r="J49" s="12">
        <f>5760/H49</f>
        <v>96</v>
      </c>
      <c r="K49" s="12">
        <f>J49/480</f>
        <v>0.2</v>
      </c>
      <c r="M49" s="12">
        <f>373.242/H49</f>
        <v>6.2207</v>
      </c>
      <c r="N49" s="12">
        <f>M49*E49</f>
        <v>5.183916666666667</v>
      </c>
      <c r="O49" s="17">
        <f>(P49*12)+Q49</f>
        <v>120</v>
      </c>
      <c r="P49" s="17">
        <v>10</v>
      </c>
      <c r="Q49" s="10">
        <v>0</v>
      </c>
      <c r="R49" s="12">
        <f>(P49/20)+(Q49/240)</f>
        <v>0.5</v>
      </c>
      <c r="U49" s="11">
        <v>30</v>
      </c>
      <c r="V49" s="12">
        <f>(1000/373.242/E49)*U49</f>
        <v>96.45216776247045</v>
      </c>
      <c r="W49" s="12">
        <f>240/O49*N49</f>
        <v>10.367833333333333</v>
      </c>
      <c r="Y49" s="10">
        <f>(V49/$V$17)*100</f>
        <v>223.82814849163597</v>
      </c>
    </row>
    <row r="50" spans="1:25" ht="12.75">
      <c r="A50" s="1" t="s">
        <v>45</v>
      </c>
      <c r="B50" t="s">
        <v>104</v>
      </c>
      <c r="C50" s="17">
        <v>20</v>
      </c>
      <c r="D50" s="10">
        <v>0</v>
      </c>
      <c r="E50" s="16">
        <f>(C50+D50/4)/24</f>
        <v>0.8333333333333334</v>
      </c>
      <c r="G50" s="12">
        <f>H50*0.9375</f>
        <v>70.3125</v>
      </c>
      <c r="H50" s="12">
        <f>U50/R50</f>
        <v>75</v>
      </c>
      <c r="J50" s="12">
        <f>5760/H50</f>
        <v>76.8</v>
      </c>
      <c r="K50" s="12">
        <f>J50/480</f>
        <v>0.16</v>
      </c>
      <c r="M50" s="12">
        <f>373.242/H50</f>
        <v>4.97656</v>
      </c>
      <c r="N50" s="12">
        <f>M50*E50</f>
        <v>4.147133333333334</v>
      </c>
      <c r="O50" s="17">
        <f>(P50*12)+Q50</f>
        <v>96</v>
      </c>
      <c r="P50" s="17">
        <v>8</v>
      </c>
      <c r="Q50" s="10">
        <v>0</v>
      </c>
      <c r="R50" s="12">
        <f>(P50/20)+(Q50/240)</f>
        <v>0.4</v>
      </c>
      <c r="U50" s="11">
        <v>30</v>
      </c>
      <c r="V50" s="12">
        <f>(1000/373.242/E50)*U50</f>
        <v>96.45216776247045</v>
      </c>
      <c r="W50" s="12">
        <f>240/O50*N50</f>
        <v>10.367833333333333</v>
      </c>
      <c r="Y50" s="10">
        <f>(V50/$V$17)*100</f>
        <v>223.82814849163597</v>
      </c>
    </row>
    <row r="51" spans="1:25" ht="12.75">
      <c r="A51" s="1" t="s">
        <v>45</v>
      </c>
      <c r="B51" t="s">
        <v>116</v>
      </c>
      <c r="C51" s="17">
        <v>20</v>
      </c>
      <c r="D51" s="10">
        <v>0</v>
      </c>
      <c r="E51" s="16">
        <f>(C51+D51/4)/24</f>
        <v>0.8333333333333334</v>
      </c>
      <c r="G51" s="12">
        <f>H51*0.9375</f>
        <v>112.5</v>
      </c>
      <c r="H51" s="12">
        <f>U51/R51</f>
        <v>120</v>
      </c>
      <c r="J51" s="12">
        <f>5760/H51</f>
        <v>48</v>
      </c>
      <c r="K51" s="12">
        <f>J51/480</f>
        <v>0.1</v>
      </c>
      <c r="M51" s="12">
        <f>373.242/H51</f>
        <v>3.11035</v>
      </c>
      <c r="N51" s="12">
        <f>M51*E51</f>
        <v>2.5919583333333334</v>
      </c>
      <c r="O51" s="17">
        <f>(P51*12)+Q51</f>
        <v>60</v>
      </c>
      <c r="P51" s="17">
        <v>5</v>
      </c>
      <c r="Q51" s="10">
        <v>0</v>
      </c>
      <c r="R51" s="12">
        <f>(P51/20)+(Q51/240)</f>
        <v>0.25</v>
      </c>
      <c r="U51" s="11">
        <v>30</v>
      </c>
      <c r="V51" s="12">
        <f>(1000/373.242/E51)*U51</f>
        <v>96.45216776247045</v>
      </c>
      <c r="W51" s="12">
        <f>240/O51*N51</f>
        <v>10.367833333333333</v>
      </c>
      <c r="Y51" s="10">
        <f>(V51/$V$17)*100</f>
        <v>223.82814849163597</v>
      </c>
    </row>
    <row r="52" spans="1:25" ht="12.75">
      <c r="A52" s="1" t="s">
        <v>45</v>
      </c>
      <c r="B52" t="s">
        <v>156</v>
      </c>
      <c r="C52" s="17">
        <v>20</v>
      </c>
      <c r="D52" s="10">
        <v>0</v>
      </c>
      <c r="E52" s="16">
        <f>(C52+D52/4)/24</f>
        <v>0.8333333333333334</v>
      </c>
      <c r="G52" s="12">
        <f>H52*0.9375</f>
        <v>225</v>
      </c>
      <c r="H52" s="12">
        <f>U52/R52</f>
        <v>240</v>
      </c>
      <c r="J52" s="12">
        <f>5760/H52</f>
        <v>24</v>
      </c>
      <c r="K52" s="12">
        <f>J52/480</f>
        <v>0.05</v>
      </c>
      <c r="M52" s="12">
        <f>373.242/H52</f>
        <v>1.555175</v>
      </c>
      <c r="N52" s="12">
        <f>M52*E52</f>
        <v>1.2959791666666667</v>
      </c>
      <c r="O52" s="17">
        <f>(P52*12)+Q52</f>
        <v>30</v>
      </c>
      <c r="P52" s="17">
        <v>2</v>
      </c>
      <c r="Q52" s="10">
        <v>6</v>
      </c>
      <c r="R52" s="12">
        <f>(P52/20)+(Q52/240)</f>
        <v>0.125</v>
      </c>
      <c r="U52" s="11">
        <v>30</v>
      </c>
      <c r="V52" s="12">
        <f>(1000/373.242/E52)*U52</f>
        <v>96.45216776247045</v>
      </c>
      <c r="W52" s="12">
        <f>240/O52*N52</f>
        <v>10.367833333333333</v>
      </c>
      <c r="Y52" s="10">
        <f>(V52/$V$17)*100</f>
        <v>223.82814849163597</v>
      </c>
    </row>
    <row r="53" ht="12.75">
      <c r="U53" s="11"/>
    </row>
    <row r="54" spans="1:25" ht="12.75">
      <c r="A54" s="1" t="s">
        <v>49</v>
      </c>
      <c r="B54" t="s">
        <v>229</v>
      </c>
      <c r="C54" s="17">
        <v>22</v>
      </c>
      <c r="D54" s="10">
        <v>0</v>
      </c>
      <c r="E54" s="16">
        <f>(C54+D54/4)/24</f>
        <v>0.9166666666666666</v>
      </c>
      <c r="G54" s="12">
        <f>H54*0.9375</f>
        <v>31.875</v>
      </c>
      <c r="H54" s="12">
        <f>U54/R54</f>
        <v>34</v>
      </c>
      <c r="J54" s="12">
        <f>5760/H54</f>
        <v>169.41176470588235</v>
      </c>
      <c r="K54" s="12">
        <f>J54/480</f>
        <v>0.3529411764705882</v>
      </c>
      <c r="M54" s="12">
        <f>373.242/H54</f>
        <v>10.977705882352941</v>
      </c>
      <c r="N54" s="12">
        <f>M54*E54</f>
        <v>10.062897058823529</v>
      </c>
      <c r="O54" s="17">
        <f>(P54*12)+Q54</f>
        <v>240</v>
      </c>
      <c r="P54" s="17">
        <v>20</v>
      </c>
      <c r="Q54" s="10">
        <v>0</v>
      </c>
      <c r="R54" s="12">
        <f>(P54/20)+(Q54/240)</f>
        <v>1</v>
      </c>
      <c r="U54" s="12">
        <v>34</v>
      </c>
      <c r="V54" s="12">
        <f>(1000/373.242/E54)*U54</f>
        <v>99.37496072496955</v>
      </c>
      <c r="W54" s="12">
        <f>240/O54*N54</f>
        <v>10.062897058823529</v>
      </c>
      <c r="X54" s="4">
        <f>(W54-W52)/W52</f>
        <v>-0.029411764705882432</v>
      </c>
      <c r="Y54" s="10">
        <f>(V54/$V$17)*100</f>
        <v>230.6108196580492</v>
      </c>
    </row>
    <row r="55" spans="1:25" ht="12.75">
      <c r="A55" s="1" t="s">
        <v>49</v>
      </c>
      <c r="B55" t="s">
        <v>221</v>
      </c>
      <c r="C55" s="17">
        <v>22</v>
      </c>
      <c r="D55" s="10">
        <v>0</v>
      </c>
      <c r="E55" s="16">
        <f>(C55+D55/4)/24</f>
        <v>0.9166666666666666</v>
      </c>
      <c r="G55" s="12">
        <f>H55*0.9375</f>
        <v>63.75</v>
      </c>
      <c r="H55" s="12">
        <f>U55/R55</f>
        <v>68</v>
      </c>
      <c r="J55" s="12">
        <f>5760/H55</f>
        <v>84.70588235294117</v>
      </c>
      <c r="K55" s="12">
        <f>J55/480</f>
        <v>0.1764705882352941</v>
      </c>
      <c r="M55" s="12">
        <f>373.242/H55</f>
        <v>5.488852941176471</v>
      </c>
      <c r="N55" s="12">
        <f>M55*E55</f>
        <v>5.031448529411764</v>
      </c>
      <c r="O55" s="17">
        <f>(P55*12)+Q55</f>
        <v>120</v>
      </c>
      <c r="P55" s="17">
        <v>10</v>
      </c>
      <c r="Q55" s="10">
        <v>0</v>
      </c>
      <c r="R55" s="12">
        <f>(P55/20)+(Q55/240)</f>
        <v>0.5</v>
      </c>
      <c r="U55" s="12">
        <v>34</v>
      </c>
      <c r="V55" s="12">
        <f>(1000/373.242/E55)*U55</f>
        <v>99.37496072496955</v>
      </c>
      <c r="W55" s="12">
        <f>240/O55*N55</f>
        <v>10.062897058823529</v>
      </c>
      <c r="Y55" s="10">
        <f>(V55/$V$17)*100</f>
        <v>230.6108196580492</v>
      </c>
    </row>
    <row r="56" spans="1:25" ht="12.75">
      <c r="A56" s="1" t="s">
        <v>49</v>
      </c>
      <c r="B56" t="s">
        <v>116</v>
      </c>
      <c r="C56" s="17">
        <v>22</v>
      </c>
      <c r="D56" s="10">
        <v>0</v>
      </c>
      <c r="E56" s="16">
        <f>(C56+D56/4)/24</f>
        <v>0.9166666666666666</v>
      </c>
      <c r="G56" s="12">
        <f>H56*0.9375</f>
        <v>127.5</v>
      </c>
      <c r="H56" s="12">
        <f>U56/R56</f>
        <v>136</v>
      </c>
      <c r="J56" s="12">
        <f>5760/H56</f>
        <v>42.35294117647059</v>
      </c>
      <c r="K56" s="12">
        <f>J56/480</f>
        <v>0.08823529411764705</v>
      </c>
      <c r="M56" s="12">
        <f>373.242/H56</f>
        <v>2.7444264705882353</v>
      </c>
      <c r="N56" s="12">
        <f>M56*E56</f>
        <v>2.515724264705882</v>
      </c>
      <c r="O56" s="17">
        <f>(P56*12)+Q56</f>
        <v>60</v>
      </c>
      <c r="P56" s="17">
        <v>5</v>
      </c>
      <c r="Q56" s="10">
        <v>0</v>
      </c>
      <c r="R56" s="12">
        <f>(P56/20)+(Q56/240)</f>
        <v>0.25</v>
      </c>
      <c r="U56" s="12">
        <v>34</v>
      </c>
      <c r="V56" s="12">
        <f>(1000/373.242/E56)*U56</f>
        <v>99.37496072496955</v>
      </c>
      <c r="W56" s="12">
        <f>240/O56*N56</f>
        <v>10.062897058823529</v>
      </c>
      <c r="Y56" s="10">
        <f>(V56/$V$17)*100</f>
        <v>230.6108196580492</v>
      </c>
    </row>
    <row r="57" spans="1:25" ht="12.75">
      <c r="A57" s="1" t="s">
        <v>49</v>
      </c>
      <c r="B57" t="s">
        <v>156</v>
      </c>
      <c r="C57" s="17">
        <v>22</v>
      </c>
      <c r="D57" s="10">
        <v>0</v>
      </c>
      <c r="E57" s="16">
        <f>(C57+D57/4)/24</f>
        <v>0.9166666666666666</v>
      </c>
      <c r="G57" s="12">
        <f>H57*0.9375</f>
        <v>255</v>
      </c>
      <c r="H57" s="12">
        <f>U57/R57</f>
        <v>272</v>
      </c>
      <c r="J57" s="12">
        <f>5760/H57</f>
        <v>21.176470588235293</v>
      </c>
      <c r="K57" s="12">
        <f>J57/480</f>
        <v>0.044117647058823525</v>
      </c>
      <c r="M57" s="12">
        <f>373.242/H57</f>
        <v>1.3722132352941177</v>
      </c>
      <c r="N57" s="12">
        <f>M57*E57</f>
        <v>1.257862132352941</v>
      </c>
      <c r="O57" s="17">
        <f>(P57*12)+Q57</f>
        <v>30</v>
      </c>
      <c r="P57" s="17">
        <v>2</v>
      </c>
      <c r="Q57" s="10">
        <v>6</v>
      </c>
      <c r="R57" s="12">
        <f>(P57/20)+(Q57/240)</f>
        <v>0.125</v>
      </c>
      <c r="U57" s="12">
        <v>34</v>
      </c>
      <c r="V57" s="12">
        <f>(1000/373.242/E57)*U57</f>
        <v>99.37496072496955</v>
      </c>
      <c r="W57" s="12">
        <f>240/O57*N57</f>
        <v>10.062897058823529</v>
      </c>
      <c r="Y57" s="10">
        <f>(V57/$V$17)*100</f>
        <v>230.6108196580492</v>
      </c>
    </row>
    <row r="59" spans="1:25" ht="12.75">
      <c r="A59" s="1" t="s">
        <v>50</v>
      </c>
      <c r="B59" t="s">
        <v>229</v>
      </c>
      <c r="C59" s="17">
        <v>23</v>
      </c>
      <c r="D59" s="10">
        <v>3.5</v>
      </c>
      <c r="E59" s="16">
        <f>(C59+D59/4)/24</f>
        <v>0.9947916666666666</v>
      </c>
      <c r="G59" s="12">
        <f>H59*0.9375</f>
        <v>22.5</v>
      </c>
      <c r="H59" s="12">
        <f>U59/R59</f>
        <v>24</v>
      </c>
      <c r="J59" s="12">
        <f>5760/H59</f>
        <v>240</v>
      </c>
      <c r="K59" s="12">
        <f>J59/480</f>
        <v>0.5</v>
      </c>
      <c r="M59" s="12">
        <f>373.242/H59</f>
        <v>15.55175</v>
      </c>
      <c r="N59" s="12">
        <f>M59*E59</f>
        <v>15.470751302083332</v>
      </c>
      <c r="O59" s="17">
        <f>(P59*12)+Q59</f>
        <v>288</v>
      </c>
      <c r="P59" s="17">
        <v>24</v>
      </c>
      <c r="Q59" s="10">
        <v>0</v>
      </c>
      <c r="R59" s="12">
        <f>(P59/20)+(Q59/240)</f>
        <v>1.2</v>
      </c>
      <c r="U59" s="11">
        <f>28+(16/20)</f>
        <v>28.8</v>
      </c>
      <c r="V59" s="12">
        <f>(1000/373.242/E59)*U59</f>
        <v>77.56572234720137</v>
      </c>
      <c r="W59" s="12">
        <f>240/O59*N59</f>
        <v>12.892292751736111</v>
      </c>
      <c r="X59" s="4">
        <f>(W59-W57)/W57</f>
        <v>0.2811710858585859</v>
      </c>
      <c r="Y59" s="10">
        <f>(V59/$V$17)*100</f>
        <v>180.0000188917031</v>
      </c>
    </row>
    <row r="60" spans="1:25" ht="12.75">
      <c r="A60" s="1" t="s">
        <v>50</v>
      </c>
      <c r="B60" t="s">
        <v>221</v>
      </c>
      <c r="C60" s="17">
        <v>23</v>
      </c>
      <c r="D60" s="10">
        <v>3.5</v>
      </c>
      <c r="E60" s="16">
        <f>(C60+D60/4)/24</f>
        <v>0.9947916666666666</v>
      </c>
      <c r="G60" s="12">
        <f>H60*0.9375</f>
        <v>45</v>
      </c>
      <c r="H60" s="12">
        <f>U60/R60</f>
        <v>48</v>
      </c>
      <c r="J60" s="12">
        <f>5760/H60</f>
        <v>120</v>
      </c>
      <c r="K60" s="12">
        <f>J60/480</f>
        <v>0.25</v>
      </c>
      <c r="M60" s="12">
        <f>373.242/H60</f>
        <v>7.775875</v>
      </c>
      <c r="N60" s="12">
        <f>M60*E60</f>
        <v>7.735375651041666</v>
      </c>
      <c r="O60" s="17">
        <f>(P60*12)+Q60</f>
        <v>144</v>
      </c>
      <c r="P60" s="17">
        <v>12</v>
      </c>
      <c r="Q60" s="10">
        <v>0</v>
      </c>
      <c r="R60" s="12">
        <f>(P60/20)+(Q60/240)</f>
        <v>0.6</v>
      </c>
      <c r="U60" s="11">
        <f>28+(16/20)</f>
        <v>28.8</v>
      </c>
      <c r="V60" s="12">
        <f>(1000/373.242/E60)*U60</f>
        <v>77.56572234720137</v>
      </c>
      <c r="W60" s="12">
        <f>240/O60*N60</f>
        <v>12.892292751736111</v>
      </c>
      <c r="Y60" s="10">
        <f>(V60/$V$17)*100</f>
        <v>180.0000188917031</v>
      </c>
    </row>
    <row r="61" spans="1:25" ht="12.75">
      <c r="A61" s="1" t="s">
        <v>50</v>
      </c>
      <c r="B61" t="s">
        <v>104</v>
      </c>
      <c r="C61" s="17">
        <v>23</v>
      </c>
      <c r="D61" s="10">
        <v>3.5</v>
      </c>
      <c r="E61" s="16">
        <f>(C61+D61/4)/24</f>
        <v>0.9947916666666666</v>
      </c>
      <c r="G61" s="12">
        <f>H61*0.9375</f>
        <v>67.5</v>
      </c>
      <c r="H61" s="12">
        <f>U61/R61</f>
        <v>72</v>
      </c>
      <c r="J61" s="12">
        <f>5760/H61</f>
        <v>80</v>
      </c>
      <c r="K61" s="12">
        <f>J61/480</f>
        <v>0.16666666666666666</v>
      </c>
      <c r="M61" s="12">
        <f>373.242/H61</f>
        <v>5.183916666666667</v>
      </c>
      <c r="N61" s="12">
        <f>M61*E61</f>
        <v>5.156917100694445</v>
      </c>
      <c r="O61" s="17">
        <f>(P61*12)+Q61</f>
        <v>96</v>
      </c>
      <c r="P61" s="17">
        <v>8</v>
      </c>
      <c r="Q61" s="10">
        <v>0</v>
      </c>
      <c r="R61" s="12">
        <f>(P61/20)+(Q61/240)</f>
        <v>0.4</v>
      </c>
      <c r="U61" s="11">
        <f>28+(16/20)</f>
        <v>28.8</v>
      </c>
      <c r="V61" s="12">
        <f>(1000/373.242/E61)*U61</f>
        <v>77.56572234720137</v>
      </c>
      <c r="W61" s="12">
        <f>240/O61*N61</f>
        <v>12.892292751736111</v>
      </c>
      <c r="Y61" s="10">
        <f>(V61/$V$17)*100</f>
        <v>180.0000188917031</v>
      </c>
    </row>
    <row r="63" spans="1:25" ht="12.75">
      <c r="A63" s="1" t="s">
        <v>53</v>
      </c>
      <c r="B63" t="s">
        <v>229</v>
      </c>
      <c r="C63" s="17">
        <v>23</v>
      </c>
      <c r="D63" s="10">
        <v>10.5</v>
      </c>
      <c r="E63" s="16">
        <f>(C63+D63/12)/24</f>
        <v>0.9947916666666666</v>
      </c>
      <c r="G63" s="12">
        <f>H63*0.9375</f>
        <v>22.5</v>
      </c>
      <c r="H63" s="12">
        <f>U63/R63</f>
        <v>24</v>
      </c>
      <c r="J63" s="12">
        <f>5760/H63</f>
        <v>240</v>
      </c>
      <c r="K63" s="12">
        <f>J63/480</f>
        <v>0.5</v>
      </c>
      <c r="M63" s="12">
        <f>373.242/H63</f>
        <v>15.55175</v>
      </c>
      <c r="N63" s="12">
        <f>M63*E63</f>
        <v>15.470751302083332</v>
      </c>
      <c r="O63" s="17">
        <f>(P63*12)+Q63</f>
        <v>360</v>
      </c>
      <c r="P63" s="17">
        <v>30</v>
      </c>
      <c r="Q63" s="10">
        <v>0</v>
      </c>
      <c r="R63" s="12">
        <f>(P63/20)+(Q63/240)</f>
        <v>1.5</v>
      </c>
      <c r="U63" s="12">
        <v>36</v>
      </c>
      <c r="V63" s="12">
        <f>(1000/373.242/E63)*U63</f>
        <v>96.95715293400171</v>
      </c>
      <c r="W63" s="12">
        <f>240/O63*N63</f>
        <v>10.313834201388888</v>
      </c>
      <c r="X63" s="4">
        <f>(W63-W61)/W61</f>
        <v>-0.2000000000000001</v>
      </c>
      <c r="Y63" s="10">
        <f>(V63/$V$17)*100</f>
        <v>225.00002361462884</v>
      </c>
    </row>
    <row r="64" spans="1:25" ht="12.75">
      <c r="A64" s="1" t="s">
        <v>53</v>
      </c>
      <c r="B64" t="s">
        <v>104</v>
      </c>
      <c r="C64" s="17">
        <v>23</v>
      </c>
      <c r="D64" s="10">
        <v>10.5</v>
      </c>
      <c r="E64" s="16">
        <f>(C64+D64/12)/24</f>
        <v>0.9947916666666666</v>
      </c>
      <c r="G64" s="12">
        <f>H64*0.9375</f>
        <v>67.5</v>
      </c>
      <c r="H64" s="12">
        <f>U64/R64</f>
        <v>72</v>
      </c>
      <c r="J64" s="12">
        <f>5760/H64</f>
        <v>80</v>
      </c>
      <c r="K64" s="12">
        <f>J64/480</f>
        <v>0.16666666666666666</v>
      </c>
      <c r="M64" s="12">
        <f>373.242/H64</f>
        <v>5.183916666666667</v>
      </c>
      <c r="N64" s="12">
        <f>M64*E64</f>
        <v>5.156917100694445</v>
      </c>
      <c r="O64" s="17">
        <f>(P64*12)+Q64</f>
        <v>120</v>
      </c>
      <c r="P64" s="17">
        <v>10</v>
      </c>
      <c r="Q64" s="10">
        <v>0</v>
      </c>
      <c r="R64" s="12">
        <f>(P64/20)+(Q64/240)</f>
        <v>0.5</v>
      </c>
      <c r="U64" s="12">
        <v>36</v>
      </c>
      <c r="V64" s="12">
        <f>(1000/373.242/E64)*U64</f>
        <v>96.95715293400171</v>
      </c>
      <c r="W64" s="12">
        <f>240/O64*N64</f>
        <v>10.31383420138889</v>
      </c>
      <c r="Y64" s="10">
        <f>(V64/$V$17)*100</f>
        <v>225.00002361462884</v>
      </c>
    </row>
    <row r="65" spans="1:25" ht="12.75">
      <c r="A65" s="1" t="s">
        <v>53</v>
      </c>
      <c r="B65" t="s">
        <v>229</v>
      </c>
      <c r="C65" s="17">
        <v>22</v>
      </c>
      <c r="D65" s="10">
        <v>0</v>
      </c>
      <c r="E65" s="16">
        <f>(C65+D65/12)/24</f>
        <v>0.9166666666666666</v>
      </c>
      <c r="G65" s="12">
        <f>H65*0.9375</f>
        <v>30.9375</v>
      </c>
      <c r="H65" s="12">
        <f>U65/R65</f>
        <v>33</v>
      </c>
      <c r="J65" s="12">
        <f>5760/H65</f>
        <v>174.54545454545453</v>
      </c>
      <c r="K65" s="12">
        <f>J65/480</f>
        <v>0.3636363636363636</v>
      </c>
      <c r="M65" s="12">
        <f>373.242/H65</f>
        <v>11.310363636363636</v>
      </c>
      <c r="N65" s="12">
        <f>M65*E65</f>
        <v>10.367833333333333</v>
      </c>
      <c r="O65" s="17">
        <f>(P65*12)+Q65</f>
        <v>240</v>
      </c>
      <c r="P65" s="17">
        <v>20</v>
      </c>
      <c r="Q65" s="10">
        <v>0</v>
      </c>
      <c r="R65" s="12">
        <f>(P65/20)+(Q65/240)</f>
        <v>1</v>
      </c>
      <c r="U65" s="12">
        <v>33</v>
      </c>
      <c r="V65" s="12">
        <f>(1000/373.242/E65)*U65</f>
        <v>96.45216776247045</v>
      </c>
      <c r="W65" s="12">
        <f>240/O65*N65</f>
        <v>10.367833333333333</v>
      </c>
      <c r="Y65" s="10">
        <f>(V65/$V$17)*100</f>
        <v>223.82814849163597</v>
      </c>
    </row>
    <row r="66" spans="1:25" ht="12.75">
      <c r="A66" s="1" t="s">
        <v>53</v>
      </c>
      <c r="B66" t="s">
        <v>221</v>
      </c>
      <c r="C66" s="17">
        <v>22</v>
      </c>
      <c r="D66" s="10">
        <v>0</v>
      </c>
      <c r="E66" s="16">
        <f>(C66+D66/12)/24</f>
        <v>0.9166666666666666</v>
      </c>
      <c r="G66" s="12">
        <f>H66*0.9375</f>
        <v>61.875</v>
      </c>
      <c r="H66" s="12">
        <f>U66/R66</f>
        <v>66</v>
      </c>
      <c r="J66" s="12">
        <f>5760/H66</f>
        <v>87.27272727272727</v>
      </c>
      <c r="K66" s="12">
        <f>J66/480</f>
        <v>0.1818181818181818</v>
      </c>
      <c r="M66" s="12">
        <f>373.242/H66</f>
        <v>5.655181818181818</v>
      </c>
      <c r="N66" s="12">
        <f>M66*E66</f>
        <v>5.183916666666667</v>
      </c>
      <c r="O66" s="17">
        <f>(P66*12)+Q66</f>
        <v>120</v>
      </c>
      <c r="P66" s="17">
        <v>10</v>
      </c>
      <c r="Q66" s="10">
        <v>0</v>
      </c>
      <c r="R66" s="12">
        <f>(P66/20)+(Q66/240)</f>
        <v>0.5</v>
      </c>
      <c r="U66" s="12">
        <v>33</v>
      </c>
      <c r="V66" s="12">
        <f>(1000/373.242/E66)*U66</f>
        <v>96.45216776247045</v>
      </c>
      <c r="W66" s="12">
        <f>240/O66*N66</f>
        <v>10.367833333333333</v>
      </c>
      <c r="Y66" s="10">
        <f>(V66/$V$17)*100</f>
        <v>223.82814849163597</v>
      </c>
    </row>
    <row r="67" spans="1:25" ht="12.75">
      <c r="A67" s="1" t="s">
        <v>53</v>
      </c>
      <c r="B67" t="s">
        <v>116</v>
      </c>
      <c r="C67" s="17">
        <v>22</v>
      </c>
      <c r="D67" s="10">
        <v>0</v>
      </c>
      <c r="E67" s="16">
        <f>(C67+D67/12)/24</f>
        <v>0.9166666666666666</v>
      </c>
      <c r="G67" s="12">
        <f>H67*0.9375</f>
        <v>123.75</v>
      </c>
      <c r="H67" s="12">
        <f>U67/R67</f>
        <v>132</v>
      </c>
      <c r="J67" s="12">
        <f>5760/H67</f>
        <v>43.63636363636363</v>
      </c>
      <c r="K67" s="12">
        <f>J67/480</f>
        <v>0.0909090909090909</v>
      </c>
      <c r="M67" s="12">
        <f>373.242/H67</f>
        <v>2.827590909090909</v>
      </c>
      <c r="N67" s="12">
        <f>M67*E67</f>
        <v>2.5919583333333334</v>
      </c>
      <c r="O67" s="17">
        <f>(P67*12)+Q67</f>
        <v>60</v>
      </c>
      <c r="P67" s="17">
        <v>5</v>
      </c>
      <c r="Q67" s="10">
        <v>0</v>
      </c>
      <c r="R67" s="12">
        <f>(P67/20)+(Q67/240)</f>
        <v>0.25</v>
      </c>
      <c r="U67" s="12">
        <v>33</v>
      </c>
      <c r="V67" s="12">
        <f>(1000/373.242/E67)*U67</f>
        <v>96.45216776247045</v>
      </c>
      <c r="W67" s="12">
        <f>240/O67*N67</f>
        <v>10.367833333333333</v>
      </c>
      <c r="Y67" s="10">
        <f>(V67/$V$17)*100</f>
        <v>223.82814849163597</v>
      </c>
    </row>
    <row r="69" spans="1:25" ht="12.75">
      <c r="A69" s="1" t="s">
        <v>54</v>
      </c>
      <c r="B69" t="s">
        <v>229</v>
      </c>
      <c r="C69" s="17">
        <v>23</v>
      </c>
      <c r="D69" s="10">
        <v>10.5</v>
      </c>
      <c r="E69" s="16">
        <f>(C69+D69/12)/24</f>
        <v>0.9947916666666666</v>
      </c>
      <c r="G69" s="12">
        <f>H69*0.9375</f>
        <v>22.5</v>
      </c>
      <c r="H69" s="12">
        <f>U69/R69</f>
        <v>24</v>
      </c>
      <c r="J69" s="12">
        <f>5760/H69</f>
        <v>240</v>
      </c>
      <c r="K69" s="12">
        <f>J69/480</f>
        <v>0.5</v>
      </c>
      <c r="M69" s="12">
        <f>373.242/H69</f>
        <v>15.55175</v>
      </c>
      <c r="N69" s="12">
        <f>M69*E69</f>
        <v>15.470751302083332</v>
      </c>
      <c r="O69" s="17">
        <f>(P69*12)+Q69</f>
        <v>360</v>
      </c>
      <c r="P69" s="17">
        <v>30</v>
      </c>
      <c r="Q69" s="10">
        <v>0</v>
      </c>
      <c r="R69" s="12">
        <f>(P69/20)+(Q69/240)</f>
        <v>1.5</v>
      </c>
      <c r="U69" s="12">
        <v>36</v>
      </c>
      <c r="V69" s="12">
        <f>(1000/373.242/E69)*U69</f>
        <v>96.95715293400171</v>
      </c>
      <c r="W69" s="12">
        <f>240/O69*N69</f>
        <v>10.313834201388888</v>
      </c>
      <c r="X69" s="4">
        <f>(W69-W63)/W63</f>
        <v>0</v>
      </c>
      <c r="Y69" s="10">
        <f>(V69/$V$17)*100</f>
        <v>225.00002361462884</v>
      </c>
    </row>
    <row r="70" spans="1:25" ht="12.75">
      <c r="A70" s="1" t="s">
        <v>54</v>
      </c>
      <c r="B70" t="s">
        <v>221</v>
      </c>
      <c r="C70" s="17">
        <v>23</v>
      </c>
      <c r="D70" s="10">
        <v>10.5</v>
      </c>
      <c r="E70" s="16">
        <f>(C70+D70/12)/24</f>
        <v>0.9947916666666666</v>
      </c>
      <c r="G70" s="12">
        <f>H70*0.9375</f>
        <v>45</v>
      </c>
      <c r="H70" s="12">
        <f>U70/R70</f>
        <v>48</v>
      </c>
      <c r="J70" s="12">
        <f>5760/H70</f>
        <v>120</v>
      </c>
      <c r="K70" s="12">
        <f>J70/480</f>
        <v>0.25</v>
      </c>
      <c r="M70" s="12">
        <f>373.242/H70</f>
        <v>7.775875</v>
      </c>
      <c r="N70" s="12">
        <f>M70*E70</f>
        <v>7.735375651041666</v>
      </c>
      <c r="O70" s="17">
        <f>(P70*12)+Q70</f>
        <v>180</v>
      </c>
      <c r="P70" s="17">
        <v>15</v>
      </c>
      <c r="Q70" s="10">
        <v>0</v>
      </c>
      <c r="R70" s="12">
        <f>(P70/20)+(Q70/240)</f>
        <v>0.75</v>
      </c>
      <c r="U70" s="12">
        <v>36</v>
      </c>
      <c r="V70" s="12">
        <f>(1000/373.242/E70)*U70</f>
        <v>96.95715293400171</v>
      </c>
      <c r="W70" s="12">
        <f>240/O70*N70</f>
        <v>10.313834201388888</v>
      </c>
      <c r="Y70" s="10">
        <f>(V70/$V$17)*100</f>
        <v>225.00002361462884</v>
      </c>
    </row>
    <row r="71" spans="1:25" ht="12.75">
      <c r="A71" s="1" t="s">
        <v>54</v>
      </c>
      <c r="B71" t="s">
        <v>104</v>
      </c>
      <c r="C71" s="17">
        <v>23</v>
      </c>
      <c r="D71" s="10">
        <v>10.5</v>
      </c>
      <c r="E71" s="16">
        <f>(C71+D71/12)/24</f>
        <v>0.9947916666666666</v>
      </c>
      <c r="G71" s="12">
        <f>H71*0.9375</f>
        <v>67.5</v>
      </c>
      <c r="H71" s="12">
        <f>U71/R71</f>
        <v>72</v>
      </c>
      <c r="J71" s="12">
        <f>5760/H71</f>
        <v>80</v>
      </c>
      <c r="K71" s="12">
        <f>J71/480</f>
        <v>0.16666666666666666</v>
      </c>
      <c r="M71" s="12">
        <f>373.242/H71</f>
        <v>5.183916666666667</v>
      </c>
      <c r="N71" s="12">
        <f>M71*E71</f>
        <v>5.156917100694445</v>
      </c>
      <c r="O71" s="17">
        <f>(P71*12)+Q71</f>
        <v>120</v>
      </c>
      <c r="P71" s="17">
        <v>10</v>
      </c>
      <c r="Q71" s="10">
        <v>0</v>
      </c>
      <c r="R71" s="12">
        <f>(P71/20)+(Q71/240)</f>
        <v>0.5</v>
      </c>
      <c r="U71" s="12">
        <v>36</v>
      </c>
      <c r="V71" s="12">
        <f>(1000/373.242/E71)*U71</f>
        <v>96.95715293400171</v>
      </c>
      <c r="W71" s="12">
        <f>240/O71*N71</f>
        <v>10.31383420138889</v>
      </c>
      <c r="Y71" s="10">
        <f>(V71/$V$17)*100</f>
        <v>225.00002361462884</v>
      </c>
    </row>
    <row r="73" spans="1:25" ht="12.75">
      <c r="A73" s="1" t="s">
        <v>57</v>
      </c>
      <c r="B73" t="s">
        <v>229</v>
      </c>
      <c r="C73" s="17">
        <v>23</v>
      </c>
      <c r="D73" s="10">
        <v>3.5</v>
      </c>
      <c r="E73" s="16">
        <f aca="true" t="shared" si="16" ref="E73:E78">(C73+D73/4)/24</f>
        <v>0.9947916666666666</v>
      </c>
      <c r="G73" s="12">
        <f aca="true" t="shared" si="17" ref="G73:G78">H73*0.9375</f>
        <v>22.5</v>
      </c>
      <c r="H73" s="12">
        <f aca="true" t="shared" si="18" ref="H73:H78">U73/R73</f>
        <v>24</v>
      </c>
      <c r="J73" s="12">
        <f aca="true" t="shared" si="19" ref="J73:J78">5760/H73</f>
        <v>240</v>
      </c>
      <c r="K73" s="12">
        <f aca="true" t="shared" si="20" ref="K73:K78">J73/480</f>
        <v>0.5</v>
      </c>
      <c r="M73" s="12">
        <f aca="true" t="shared" si="21" ref="M73:M78">373.242/H73</f>
        <v>15.55175</v>
      </c>
      <c r="N73" s="12">
        <f aca="true" t="shared" si="22" ref="N73:N78">M73*E73</f>
        <v>15.470751302083332</v>
      </c>
      <c r="O73" s="17">
        <f aca="true" t="shared" si="23" ref="O73:O78">(P73*12)+Q73</f>
        <v>360</v>
      </c>
      <c r="P73" s="17">
        <v>30</v>
      </c>
      <c r="Q73" s="10">
        <v>0</v>
      </c>
      <c r="R73" s="12">
        <f aca="true" t="shared" si="24" ref="R73:R78">(P73/20)+(Q73/240)</f>
        <v>1.5</v>
      </c>
      <c r="U73" s="12">
        <v>36</v>
      </c>
      <c r="V73" s="12">
        <f aca="true" t="shared" si="25" ref="V73:V78">(1000/373.242/E73)*U73</f>
        <v>96.95715293400171</v>
      </c>
      <c r="W73" s="12">
        <f aca="true" t="shared" si="26" ref="W73:W78">240/O73*N73</f>
        <v>10.313834201388888</v>
      </c>
      <c r="X73" s="4">
        <f>(W73-W71)/W71</f>
        <v>-1.7223050174309E-16</v>
      </c>
      <c r="Y73" s="10">
        <f aca="true" t="shared" si="27" ref="Y73:Y78">(V73/$V$17)*100</f>
        <v>225.00002361462884</v>
      </c>
    </row>
    <row r="74" spans="1:25" ht="12.75">
      <c r="A74" s="1" t="s">
        <v>57</v>
      </c>
      <c r="B74" t="s">
        <v>221</v>
      </c>
      <c r="C74" s="17">
        <v>23</v>
      </c>
      <c r="D74" s="10">
        <v>3.5</v>
      </c>
      <c r="E74" s="16">
        <f t="shared" si="16"/>
        <v>0.9947916666666666</v>
      </c>
      <c r="G74" s="12">
        <f t="shared" si="17"/>
        <v>45</v>
      </c>
      <c r="H74" s="12">
        <f t="shared" si="18"/>
        <v>48</v>
      </c>
      <c r="J74" s="12">
        <f t="shared" si="19"/>
        <v>120</v>
      </c>
      <c r="K74" s="12">
        <f t="shared" si="20"/>
        <v>0.25</v>
      </c>
      <c r="M74" s="12">
        <f t="shared" si="21"/>
        <v>7.775875</v>
      </c>
      <c r="N74" s="12">
        <f t="shared" si="22"/>
        <v>7.735375651041666</v>
      </c>
      <c r="O74" s="17">
        <f t="shared" si="23"/>
        <v>180</v>
      </c>
      <c r="P74" s="17">
        <v>15</v>
      </c>
      <c r="Q74" s="10">
        <v>0</v>
      </c>
      <c r="R74" s="12">
        <f t="shared" si="24"/>
        <v>0.75</v>
      </c>
      <c r="U74" s="12">
        <v>36</v>
      </c>
      <c r="V74" s="12">
        <f t="shared" si="25"/>
        <v>96.95715293400171</v>
      </c>
      <c r="W74" s="12">
        <f t="shared" si="26"/>
        <v>10.313834201388888</v>
      </c>
      <c r="Y74" s="10">
        <f t="shared" si="27"/>
        <v>225.00002361462884</v>
      </c>
    </row>
    <row r="75" spans="1:25" ht="12.75">
      <c r="A75" s="1" t="s">
        <v>57</v>
      </c>
      <c r="B75" t="s">
        <v>104</v>
      </c>
      <c r="C75" s="17">
        <v>23</v>
      </c>
      <c r="D75" s="10">
        <v>3.5</v>
      </c>
      <c r="E75" s="16">
        <f t="shared" si="16"/>
        <v>0.9947916666666666</v>
      </c>
      <c r="G75" s="12">
        <f t="shared" si="17"/>
        <v>67.5</v>
      </c>
      <c r="H75" s="12">
        <f t="shared" si="18"/>
        <v>72</v>
      </c>
      <c r="J75" s="12">
        <f t="shared" si="19"/>
        <v>80</v>
      </c>
      <c r="K75" s="12">
        <f t="shared" si="20"/>
        <v>0.16666666666666666</v>
      </c>
      <c r="M75" s="12">
        <f t="shared" si="21"/>
        <v>5.183916666666667</v>
      </c>
      <c r="N75" s="12">
        <f t="shared" si="22"/>
        <v>5.156917100694445</v>
      </c>
      <c r="O75" s="17">
        <f t="shared" si="23"/>
        <v>120</v>
      </c>
      <c r="P75" s="17">
        <v>10</v>
      </c>
      <c r="Q75" s="10">
        <v>0</v>
      </c>
      <c r="R75" s="12">
        <f t="shared" si="24"/>
        <v>0.5</v>
      </c>
      <c r="U75" s="12">
        <v>36</v>
      </c>
      <c r="V75" s="12">
        <f t="shared" si="25"/>
        <v>96.95715293400171</v>
      </c>
      <c r="W75" s="12">
        <f t="shared" si="26"/>
        <v>10.31383420138889</v>
      </c>
      <c r="Y75" s="10">
        <f t="shared" si="27"/>
        <v>225.00002361462884</v>
      </c>
    </row>
    <row r="76" spans="1:25" ht="12.75">
      <c r="A76" s="1" t="s">
        <v>57</v>
      </c>
      <c r="B76" t="s">
        <v>229</v>
      </c>
      <c r="C76" s="17">
        <v>22</v>
      </c>
      <c r="D76" s="10">
        <v>0</v>
      </c>
      <c r="E76" s="16">
        <f t="shared" si="16"/>
        <v>0.9166666666666666</v>
      </c>
      <c r="G76" s="12">
        <f t="shared" si="17"/>
        <v>30.9375</v>
      </c>
      <c r="H76" s="12">
        <f t="shared" si="18"/>
        <v>33</v>
      </c>
      <c r="J76" s="12">
        <f t="shared" si="19"/>
        <v>174.54545454545453</v>
      </c>
      <c r="K76" s="12">
        <f t="shared" si="20"/>
        <v>0.3636363636363636</v>
      </c>
      <c r="M76" s="12">
        <f t="shared" si="21"/>
        <v>11.310363636363636</v>
      </c>
      <c r="N76" s="12">
        <f t="shared" si="22"/>
        <v>10.367833333333333</v>
      </c>
      <c r="O76" s="17">
        <f t="shared" si="23"/>
        <v>240</v>
      </c>
      <c r="P76" s="17">
        <v>20</v>
      </c>
      <c r="Q76" s="10">
        <v>0</v>
      </c>
      <c r="R76" s="12">
        <f t="shared" si="24"/>
        <v>1</v>
      </c>
      <c r="U76" s="12">
        <v>33</v>
      </c>
      <c r="V76" s="12">
        <f t="shared" si="25"/>
        <v>96.45216776247045</v>
      </c>
      <c r="W76" s="12">
        <f t="shared" si="26"/>
        <v>10.367833333333333</v>
      </c>
      <c r="Y76" s="10">
        <f t="shared" si="27"/>
        <v>223.82814849163597</v>
      </c>
    </row>
    <row r="77" spans="1:25" ht="12.75">
      <c r="A77" s="1" t="s">
        <v>57</v>
      </c>
      <c r="B77" t="s">
        <v>104</v>
      </c>
      <c r="C77" s="17">
        <v>22</v>
      </c>
      <c r="D77" s="10">
        <v>0</v>
      </c>
      <c r="E77" s="16">
        <f t="shared" si="16"/>
        <v>0.9166666666666666</v>
      </c>
      <c r="G77" s="12">
        <f t="shared" si="17"/>
        <v>61.875</v>
      </c>
      <c r="H77" s="12">
        <f t="shared" si="18"/>
        <v>66</v>
      </c>
      <c r="J77" s="12">
        <f t="shared" si="19"/>
        <v>87.27272727272727</v>
      </c>
      <c r="K77" s="12">
        <f t="shared" si="20"/>
        <v>0.1818181818181818</v>
      </c>
      <c r="M77" s="12">
        <f t="shared" si="21"/>
        <v>5.655181818181818</v>
      </c>
      <c r="N77" s="12">
        <f t="shared" si="22"/>
        <v>5.183916666666667</v>
      </c>
      <c r="O77" s="17">
        <f t="shared" si="23"/>
        <v>120</v>
      </c>
      <c r="P77" s="17">
        <v>10</v>
      </c>
      <c r="Q77" s="10">
        <v>0</v>
      </c>
      <c r="R77" s="12">
        <f t="shared" si="24"/>
        <v>0.5</v>
      </c>
      <c r="U77" s="12">
        <v>33</v>
      </c>
      <c r="V77" s="12">
        <f t="shared" si="25"/>
        <v>96.45216776247045</v>
      </c>
      <c r="W77" s="12">
        <f t="shared" si="26"/>
        <v>10.367833333333333</v>
      </c>
      <c r="Y77" s="10">
        <f t="shared" si="27"/>
        <v>223.82814849163597</v>
      </c>
    </row>
    <row r="78" spans="1:25" ht="12.75">
      <c r="A78" s="1" t="s">
        <v>57</v>
      </c>
      <c r="B78" t="s">
        <v>116</v>
      </c>
      <c r="C78" s="17">
        <v>22</v>
      </c>
      <c r="D78" s="10">
        <v>0</v>
      </c>
      <c r="E78" s="16">
        <f t="shared" si="16"/>
        <v>0.9166666666666666</v>
      </c>
      <c r="G78" s="12">
        <f t="shared" si="17"/>
        <v>123.75</v>
      </c>
      <c r="H78" s="12">
        <f t="shared" si="18"/>
        <v>132</v>
      </c>
      <c r="J78" s="12">
        <f t="shared" si="19"/>
        <v>43.63636363636363</v>
      </c>
      <c r="K78" s="12">
        <f t="shared" si="20"/>
        <v>0.0909090909090909</v>
      </c>
      <c r="M78" s="12">
        <f t="shared" si="21"/>
        <v>2.827590909090909</v>
      </c>
      <c r="N78" s="12">
        <f t="shared" si="22"/>
        <v>2.5919583333333334</v>
      </c>
      <c r="O78" s="17">
        <f t="shared" si="23"/>
        <v>60</v>
      </c>
      <c r="P78" s="17">
        <v>5</v>
      </c>
      <c r="Q78" s="10">
        <v>0</v>
      </c>
      <c r="R78" s="12">
        <f t="shared" si="24"/>
        <v>0.25</v>
      </c>
      <c r="U78" s="12">
        <v>33</v>
      </c>
      <c r="V78" s="12">
        <f t="shared" si="25"/>
        <v>96.45216776247045</v>
      </c>
      <c r="W78" s="12">
        <f t="shared" si="26"/>
        <v>10.367833333333333</v>
      </c>
      <c r="Y78" s="10">
        <f t="shared" si="27"/>
        <v>223.82814849163597</v>
      </c>
    </row>
    <row r="80" spans="1:25" ht="12.75">
      <c r="A80" s="1" t="s">
        <v>59</v>
      </c>
      <c r="B80" t="s">
        <v>104</v>
      </c>
      <c r="C80" s="17">
        <v>23</v>
      </c>
      <c r="D80" s="10">
        <v>3.5</v>
      </c>
      <c r="E80" s="16">
        <f>(C80+D80/4)/24</f>
        <v>0.9947916666666666</v>
      </c>
      <c r="G80" s="12">
        <f>H80*0.9375</f>
        <v>67.5</v>
      </c>
      <c r="H80" s="12">
        <f>U80/R80</f>
        <v>72</v>
      </c>
      <c r="J80" s="12">
        <f>5760/H80</f>
        <v>80</v>
      </c>
      <c r="K80" s="12">
        <f>J80/480</f>
        <v>0.16666666666666666</v>
      </c>
      <c r="M80" s="12">
        <f>373.242/H80</f>
        <v>5.183916666666667</v>
      </c>
      <c r="N80" s="12">
        <f>M80*E80</f>
        <v>5.156917100694445</v>
      </c>
      <c r="O80" s="17">
        <f>(P80*12)+Q80</f>
        <v>120</v>
      </c>
      <c r="P80" s="17">
        <v>10</v>
      </c>
      <c r="Q80" s="10">
        <v>0</v>
      </c>
      <c r="R80" s="12">
        <f>(P80/20)+(Q80/240)</f>
        <v>0.5</v>
      </c>
      <c r="U80" s="12">
        <v>36</v>
      </c>
      <c r="V80" s="12">
        <f>(1000/373.242/E80)*U80</f>
        <v>96.95715293400171</v>
      </c>
      <c r="W80" s="12">
        <f>240/O80*N80</f>
        <v>10.31383420138889</v>
      </c>
      <c r="X80" s="4">
        <f>(W80-W73)/W73</f>
        <v>1.7223050174309003E-16</v>
      </c>
      <c r="Y80" s="10">
        <f>(V80/$V$17)*100</f>
        <v>225.00002361462884</v>
      </c>
    </row>
    <row r="81" spans="1:25" ht="12.75">
      <c r="A81" s="1" t="s">
        <v>59</v>
      </c>
      <c r="B81" t="s">
        <v>116</v>
      </c>
      <c r="C81" s="17">
        <v>23</v>
      </c>
      <c r="D81" s="10">
        <v>3.5</v>
      </c>
      <c r="E81" s="16">
        <f>(C81+D81/4)/24</f>
        <v>0.9947916666666666</v>
      </c>
      <c r="G81" s="12">
        <f>H81*0.9375</f>
        <v>135</v>
      </c>
      <c r="H81" s="12">
        <f>U81/R81</f>
        <v>144</v>
      </c>
      <c r="J81" s="12">
        <f>5760/H81</f>
        <v>40</v>
      </c>
      <c r="K81" s="12">
        <f>J81/480</f>
        <v>0.08333333333333333</v>
      </c>
      <c r="M81" s="12">
        <f>373.242/H81</f>
        <v>2.5919583333333334</v>
      </c>
      <c r="N81" s="12">
        <f>M81*E81</f>
        <v>2.5784585503472224</v>
      </c>
      <c r="O81" s="17">
        <f>(P81*12)+Q81</f>
        <v>60</v>
      </c>
      <c r="P81" s="17">
        <v>5</v>
      </c>
      <c r="Q81" s="10">
        <v>0</v>
      </c>
      <c r="R81" s="12">
        <f>(P81/20)+(Q81/240)</f>
        <v>0.25</v>
      </c>
      <c r="U81" s="12">
        <v>36</v>
      </c>
      <c r="V81" s="12">
        <f>(1000/373.242/E81)*U81</f>
        <v>96.95715293400171</v>
      </c>
      <c r="W81" s="12">
        <f>240/O81*N81</f>
        <v>10.31383420138889</v>
      </c>
      <c r="Y81" s="10">
        <f>(V81/$V$17)*100</f>
        <v>225.00002361462884</v>
      </c>
    </row>
    <row r="83" spans="1:25" ht="12.75">
      <c r="A83" s="1" t="s">
        <v>60</v>
      </c>
      <c r="B83" t="s">
        <v>104</v>
      </c>
      <c r="C83" s="17">
        <v>23</v>
      </c>
      <c r="D83" s="10">
        <v>3.5</v>
      </c>
      <c r="E83" s="16">
        <f>(C83+D83/4)/24</f>
        <v>0.9947916666666666</v>
      </c>
      <c r="G83" s="12">
        <f>H83*0.9375</f>
        <v>67.67578125</v>
      </c>
      <c r="H83" s="12">
        <f>U83/R83</f>
        <v>72.1875</v>
      </c>
      <c r="J83" s="12">
        <f>5760/H83</f>
        <v>79.79220779220779</v>
      </c>
      <c r="K83" s="12">
        <f>J83/480</f>
        <v>0.16623376623376623</v>
      </c>
      <c r="M83" s="12">
        <f>373.242/H83</f>
        <v>5.170451948051948</v>
      </c>
      <c r="N83" s="12">
        <f>M83*E83</f>
        <v>5.14352251082251</v>
      </c>
      <c r="O83" s="17">
        <f>(P83*12)+Q83</f>
        <v>120</v>
      </c>
      <c r="P83" s="17">
        <v>10</v>
      </c>
      <c r="Q83" s="10">
        <v>0</v>
      </c>
      <c r="R83" s="12">
        <f>(P83/20)+(Q83/240)</f>
        <v>0.5</v>
      </c>
      <c r="U83" s="12">
        <f>36+(1/20)+(10.5/240)</f>
        <v>36.09375</v>
      </c>
      <c r="V83" s="12">
        <f>(1000/373.242/E83)*U83</f>
        <v>97.20964551976735</v>
      </c>
      <c r="W83" s="12">
        <f>240/O83*N83</f>
        <v>10.28704502164502</v>
      </c>
      <c r="X83" s="4">
        <f>(W83-W81)/W81</f>
        <v>-0.0025974025974027314</v>
      </c>
      <c r="Y83" s="10">
        <f>(V83/$V$17)*100</f>
        <v>225.5859611761253</v>
      </c>
    </row>
    <row r="85" spans="1:25" ht="12.75">
      <c r="A85" s="1" t="s">
        <v>61</v>
      </c>
      <c r="B85" t="s">
        <v>104</v>
      </c>
      <c r="C85" s="17">
        <v>23</v>
      </c>
      <c r="D85" s="10">
        <v>3.5</v>
      </c>
      <c r="E85" s="16">
        <f>(C85+D85/4)/24</f>
        <v>0.9947916666666666</v>
      </c>
      <c r="G85" s="12">
        <f>H85*0.9375</f>
        <v>67.5</v>
      </c>
      <c r="H85" s="12">
        <f>U85/R85</f>
        <v>72</v>
      </c>
      <c r="J85" s="12">
        <f>5760/H85</f>
        <v>80</v>
      </c>
      <c r="K85" s="12">
        <f>J85/480</f>
        <v>0.16666666666666666</v>
      </c>
      <c r="M85" s="12">
        <f>373.242/H85</f>
        <v>5.183916666666667</v>
      </c>
      <c r="N85" s="12">
        <f>M85*E85</f>
        <v>5.156917100694445</v>
      </c>
      <c r="O85" s="17">
        <f>(P85*12)+Q85</f>
        <v>120</v>
      </c>
      <c r="P85" s="17">
        <v>10</v>
      </c>
      <c r="Q85" s="10">
        <v>0</v>
      </c>
      <c r="R85" s="12">
        <f>(P85/20)+(Q85/240)</f>
        <v>0.5</v>
      </c>
      <c r="U85" s="12">
        <v>36</v>
      </c>
      <c r="V85" s="12">
        <f>(1000/373.242/E85)*U85</f>
        <v>96.95715293400171</v>
      </c>
      <c r="W85" s="12">
        <f>240/O85*N85</f>
        <v>10.31383420138889</v>
      </c>
      <c r="X85" s="4">
        <f>(W85-W83)/W83</f>
        <v>0.0026041666666668014</v>
      </c>
      <c r="Y85" s="10">
        <f>(V85/$V$17)*100</f>
        <v>225.00002361462884</v>
      </c>
    </row>
    <row r="87" spans="1:25" ht="12.75">
      <c r="A87" s="1" t="s">
        <v>62</v>
      </c>
      <c r="B87" t="s">
        <v>229</v>
      </c>
      <c r="C87" s="17">
        <v>22</v>
      </c>
      <c r="D87" s="10">
        <v>0</v>
      </c>
      <c r="E87" s="16">
        <f>(C87+D87/4)/24</f>
        <v>0.9166666666666666</v>
      </c>
      <c r="G87" s="12">
        <f>H87*0.9375</f>
        <v>30.9375</v>
      </c>
      <c r="H87" s="12">
        <f>U87/R87</f>
        <v>33</v>
      </c>
      <c r="J87" s="12">
        <f>5760/H87</f>
        <v>174.54545454545453</v>
      </c>
      <c r="K87" s="12">
        <f>J87/480</f>
        <v>0.3636363636363636</v>
      </c>
      <c r="M87" s="12">
        <f>373.242/H87</f>
        <v>11.310363636363636</v>
      </c>
      <c r="N87" s="12">
        <f>M87*E87</f>
        <v>10.367833333333333</v>
      </c>
      <c r="O87" s="17">
        <f>(P87*12)+Q87</f>
        <v>240</v>
      </c>
      <c r="P87" s="17">
        <v>20</v>
      </c>
      <c r="Q87" s="10">
        <v>0</v>
      </c>
      <c r="R87" s="12">
        <f>(P87/20)+(Q87/240)</f>
        <v>1</v>
      </c>
      <c r="U87" s="12">
        <v>33</v>
      </c>
      <c r="V87" s="12">
        <f>(1000/373.242/E87)*U87</f>
        <v>96.45216776247045</v>
      </c>
      <c r="W87" s="12">
        <f>240/O87*N87</f>
        <v>10.367833333333333</v>
      </c>
      <c r="X87" s="4">
        <f>(W87-W85)/W85</f>
        <v>0.005235602094240789</v>
      </c>
      <c r="Y87" s="10">
        <f>(V87/$V$17)*100</f>
        <v>223.82814849163597</v>
      </c>
    </row>
    <row r="88" spans="1:25" ht="12.75">
      <c r="A88" s="1" t="s">
        <v>62</v>
      </c>
      <c r="B88" t="s">
        <v>104</v>
      </c>
      <c r="C88" s="17">
        <v>22</v>
      </c>
      <c r="D88" s="10">
        <v>0</v>
      </c>
      <c r="E88" s="16">
        <f>(C88+D88/4)/24</f>
        <v>0.9166666666666666</v>
      </c>
      <c r="G88" s="12">
        <f>H88*0.9375</f>
        <v>61.875</v>
      </c>
      <c r="H88" s="12">
        <f>U88/R88</f>
        <v>66</v>
      </c>
      <c r="J88" s="12">
        <f>5760/H88</f>
        <v>87.27272727272727</v>
      </c>
      <c r="K88" s="12">
        <f>J88/480</f>
        <v>0.1818181818181818</v>
      </c>
      <c r="M88" s="12">
        <f>373.242/H88</f>
        <v>5.655181818181818</v>
      </c>
      <c r="N88" s="12">
        <f>M88*E88</f>
        <v>5.183916666666667</v>
      </c>
      <c r="O88" s="17">
        <f>(P88*12)+Q88</f>
        <v>120</v>
      </c>
      <c r="P88" s="17">
        <v>10</v>
      </c>
      <c r="Q88" s="10">
        <v>0</v>
      </c>
      <c r="R88" s="12">
        <f>(P88/20)+(Q88/240)</f>
        <v>0.5</v>
      </c>
      <c r="U88" s="12">
        <v>33</v>
      </c>
      <c r="V88" s="12">
        <f>(1000/373.242/E88)*U88</f>
        <v>96.45216776247045</v>
      </c>
      <c r="W88" s="12">
        <f>240/O88*N88</f>
        <v>10.367833333333333</v>
      </c>
      <c r="Y88" s="10">
        <f>(V88/$V$17)*100</f>
        <v>223.82814849163597</v>
      </c>
    </row>
    <row r="89" spans="1:25" ht="12.75">
      <c r="A89" s="1" t="s">
        <v>62</v>
      </c>
      <c r="B89" t="s">
        <v>116</v>
      </c>
      <c r="C89" s="17">
        <v>22</v>
      </c>
      <c r="D89" s="10">
        <v>0</v>
      </c>
      <c r="E89" s="16">
        <f>(C89+D89/4)/24</f>
        <v>0.9166666666666666</v>
      </c>
      <c r="G89" s="12">
        <f>H89*0.9375</f>
        <v>123.75</v>
      </c>
      <c r="H89" s="12">
        <f>U89/R89</f>
        <v>132</v>
      </c>
      <c r="J89" s="12">
        <f>5760/H89</f>
        <v>43.63636363636363</v>
      </c>
      <c r="K89" s="12">
        <f>J89/480</f>
        <v>0.0909090909090909</v>
      </c>
      <c r="M89" s="12">
        <f>373.242/H89</f>
        <v>2.827590909090909</v>
      </c>
      <c r="N89" s="12">
        <f>M89*E89</f>
        <v>2.5919583333333334</v>
      </c>
      <c r="O89" s="17">
        <f>(P89*12)+Q89</f>
        <v>60</v>
      </c>
      <c r="P89" s="17">
        <v>5</v>
      </c>
      <c r="Q89" s="10">
        <v>0</v>
      </c>
      <c r="R89" s="12">
        <f>(P89/20)+(Q89/240)</f>
        <v>0.25</v>
      </c>
      <c r="U89" s="12">
        <v>33</v>
      </c>
      <c r="V89" s="12">
        <f>(1000/373.242/E89)*U89</f>
        <v>96.45216776247045</v>
      </c>
      <c r="W89" s="12">
        <f>240/O89*N89</f>
        <v>10.367833333333333</v>
      </c>
      <c r="Y89" s="10">
        <f>(V89/$V$17)*100</f>
        <v>223.82814849163597</v>
      </c>
    </row>
    <row r="91" spans="1:25" ht="12.75">
      <c r="A91" s="1" t="s">
        <v>63</v>
      </c>
      <c r="B91" t="s">
        <v>104</v>
      </c>
      <c r="C91" s="17">
        <v>23</v>
      </c>
      <c r="D91" s="10">
        <v>3.5</v>
      </c>
      <c r="E91" s="16">
        <f>(C91+D91/4)/24</f>
        <v>0.9947916666666666</v>
      </c>
      <c r="G91" s="12">
        <f>H91*0.9375</f>
        <v>68.4375</v>
      </c>
      <c r="H91" s="12">
        <f>U91/R91</f>
        <v>73</v>
      </c>
      <c r="J91" s="12">
        <f>5760/H91</f>
        <v>78.9041095890411</v>
      </c>
      <c r="K91" s="12">
        <f>J91/480</f>
        <v>0.16438356164383564</v>
      </c>
      <c r="M91" s="12">
        <f>373.242/H91</f>
        <v>5.112904109589041</v>
      </c>
      <c r="N91" s="12">
        <f>M91*E91</f>
        <v>5.086274400684932</v>
      </c>
      <c r="O91" s="17">
        <f>(P91*12)+Q91</f>
        <v>120</v>
      </c>
      <c r="P91" s="17">
        <v>10</v>
      </c>
      <c r="Q91" s="10">
        <v>0</v>
      </c>
      <c r="R91" s="12">
        <f>(P91/20)+(Q91/240)</f>
        <v>0.5</v>
      </c>
      <c r="U91" s="12">
        <f>36+(10/20)</f>
        <v>36.5</v>
      </c>
      <c r="V91" s="12">
        <f>(1000/373.242/E91)*U91</f>
        <v>98.30378005808507</v>
      </c>
      <c r="W91" s="12">
        <f>240/O91*N91</f>
        <v>10.172548801369864</v>
      </c>
      <c r="X91" s="4">
        <f>(W91-W89)/W89</f>
        <v>-0.018835616438356108</v>
      </c>
      <c r="Y91" s="10">
        <f>(V91/$V$17)*100</f>
        <v>228.1250239426098</v>
      </c>
    </row>
    <row r="92" spans="1:25" ht="12.75">
      <c r="A92" s="1" t="s">
        <v>63</v>
      </c>
      <c r="B92" t="s">
        <v>116</v>
      </c>
      <c r="C92" s="17">
        <v>23</v>
      </c>
      <c r="D92" s="10">
        <v>3.5</v>
      </c>
      <c r="E92" s="16">
        <f>(C92+D92/4)/24</f>
        <v>0.9947916666666666</v>
      </c>
      <c r="G92" s="12">
        <f>H92*0.9375</f>
        <v>136.875</v>
      </c>
      <c r="H92" s="12">
        <f>U92/R92</f>
        <v>146</v>
      </c>
      <c r="J92" s="12">
        <f>5760/H92</f>
        <v>39.45205479452055</v>
      </c>
      <c r="K92" s="12">
        <f>J92/480</f>
        <v>0.08219178082191782</v>
      </c>
      <c r="M92" s="12">
        <f>373.242/H92</f>
        <v>2.5564520547945206</v>
      </c>
      <c r="N92" s="12">
        <f>M92*E92</f>
        <v>2.543137200342466</v>
      </c>
      <c r="O92" s="17">
        <f>(P92*12)+Q92</f>
        <v>60</v>
      </c>
      <c r="P92" s="17">
        <v>5</v>
      </c>
      <c r="Q92" s="10">
        <v>0</v>
      </c>
      <c r="R92" s="12">
        <f>(P92/20)+(Q92/240)</f>
        <v>0.25</v>
      </c>
      <c r="U92" s="12">
        <f>36+(10/20)</f>
        <v>36.5</v>
      </c>
      <c r="V92" s="12">
        <f>(1000/373.242/E92)*U92</f>
        <v>98.30378005808507</v>
      </c>
      <c r="W92" s="12">
        <f>240/O92*N92</f>
        <v>10.172548801369864</v>
      </c>
      <c r="Y92" s="10">
        <f>(V92/$V$17)*100</f>
        <v>228.1250239426098</v>
      </c>
    </row>
    <row r="94" spans="1:25" ht="12.75">
      <c r="A94" s="1" t="s">
        <v>63</v>
      </c>
      <c r="B94" t="s">
        <v>229</v>
      </c>
      <c r="C94" s="17">
        <v>22</v>
      </c>
      <c r="D94" s="10">
        <v>0</v>
      </c>
      <c r="E94" s="16">
        <f>(C94+D94/4)/24</f>
        <v>0.9166666666666666</v>
      </c>
      <c r="G94" s="12">
        <f>H94*0.9375</f>
        <v>31.40625</v>
      </c>
      <c r="H94" s="12">
        <f>U94/R94</f>
        <v>33.5</v>
      </c>
      <c r="J94" s="12">
        <f>5760/H94</f>
        <v>171.9402985074627</v>
      </c>
      <c r="K94" s="12">
        <f>J94/480</f>
        <v>0.35820895522388063</v>
      </c>
      <c r="M94" s="12">
        <f>373.242/H94</f>
        <v>11.141552238805971</v>
      </c>
      <c r="N94" s="12">
        <f>M94*E94</f>
        <v>10.213089552238806</v>
      </c>
      <c r="O94" s="17">
        <f>(P94*12)+Q94</f>
        <v>240</v>
      </c>
      <c r="P94" s="17">
        <v>20</v>
      </c>
      <c r="Q94" s="10">
        <v>0</v>
      </c>
      <c r="R94" s="12">
        <f>(P94/20)+(Q94/240)</f>
        <v>1</v>
      </c>
      <c r="U94" s="12">
        <f>33+(10/20)</f>
        <v>33.5</v>
      </c>
      <c r="V94" s="12">
        <f>(1000/373.242/E94)*U94</f>
        <v>97.91356424372</v>
      </c>
      <c r="W94" s="12">
        <f>240/O94*N94</f>
        <v>10.213089552238806</v>
      </c>
      <c r="X94" s="4">
        <f>(W94-W92)/W92</f>
        <v>0.003985309056810111</v>
      </c>
      <c r="Y94" s="10">
        <f>(V94/$V$17)*100</f>
        <v>227.21948407484257</v>
      </c>
    </row>
    <row r="95" spans="1:25" ht="12.75">
      <c r="A95" s="1" t="s">
        <v>63</v>
      </c>
      <c r="B95" t="s">
        <v>104</v>
      </c>
      <c r="C95" s="17">
        <v>22</v>
      </c>
      <c r="D95" s="10">
        <v>0</v>
      </c>
      <c r="E95" s="16">
        <f>(C95+D95/4)/24</f>
        <v>0.9166666666666666</v>
      </c>
      <c r="G95" s="12">
        <f>H95*0.9375</f>
        <v>62.8125</v>
      </c>
      <c r="H95" s="12">
        <f>U95/R95</f>
        <v>67</v>
      </c>
      <c r="J95" s="12">
        <f>5760/H95</f>
        <v>85.97014925373135</v>
      </c>
      <c r="K95" s="12">
        <f>J95/480</f>
        <v>0.17910447761194032</v>
      </c>
      <c r="M95" s="12">
        <f>373.242/H95</f>
        <v>5.570776119402986</v>
      </c>
      <c r="N95" s="12">
        <f>M95*E95</f>
        <v>5.106544776119403</v>
      </c>
      <c r="O95" s="17">
        <f>(P95*12)+Q95</f>
        <v>120</v>
      </c>
      <c r="P95" s="17">
        <v>10</v>
      </c>
      <c r="Q95" s="10">
        <v>0</v>
      </c>
      <c r="R95" s="12">
        <f>(P95/20)+(Q95/240)</f>
        <v>0.5</v>
      </c>
      <c r="U95" s="12">
        <f>33+(10/20)</f>
        <v>33.5</v>
      </c>
      <c r="V95" s="12">
        <f>(1000/373.242/E95)*U95</f>
        <v>97.91356424372</v>
      </c>
      <c r="W95" s="12">
        <f>240/O95*N95</f>
        <v>10.213089552238806</v>
      </c>
      <c r="Y95" s="10">
        <f>(V95/$V$17)*100</f>
        <v>227.21948407484257</v>
      </c>
    </row>
    <row r="96" spans="1:25" ht="12.75">
      <c r="A96" s="1" t="s">
        <v>63</v>
      </c>
      <c r="B96" t="s">
        <v>116</v>
      </c>
      <c r="C96" s="17">
        <v>22</v>
      </c>
      <c r="D96" s="10">
        <v>0</v>
      </c>
      <c r="E96" s="16">
        <f>(C96+D96/4)/24</f>
        <v>0.9166666666666666</v>
      </c>
      <c r="G96" s="12">
        <f>H96*0.9375</f>
        <v>125.625</v>
      </c>
      <c r="H96" s="12">
        <f>U96/R96</f>
        <v>134</v>
      </c>
      <c r="J96" s="12">
        <f>5760/H96</f>
        <v>42.985074626865675</v>
      </c>
      <c r="K96" s="12">
        <f>J96/480</f>
        <v>0.08955223880597016</v>
      </c>
      <c r="M96" s="12">
        <f>373.242/H96</f>
        <v>2.785388059701493</v>
      </c>
      <c r="N96" s="12">
        <f>M96*E96</f>
        <v>2.5532723880597015</v>
      </c>
      <c r="O96" s="17">
        <f>(P96*12)+Q96</f>
        <v>60</v>
      </c>
      <c r="P96" s="17">
        <v>5</v>
      </c>
      <c r="Q96" s="10">
        <v>0</v>
      </c>
      <c r="R96" s="12">
        <f>(P96/20)+(Q96/240)</f>
        <v>0.25</v>
      </c>
      <c r="U96" s="12">
        <f>33+(10/20)</f>
        <v>33.5</v>
      </c>
      <c r="V96" s="12">
        <f>(1000/373.242/E96)*U96</f>
        <v>97.91356424372</v>
      </c>
      <c r="W96" s="12">
        <f>240/O96*N96</f>
        <v>10.213089552238806</v>
      </c>
      <c r="Y96" s="10">
        <f>(V96/$V$17)*100</f>
        <v>227.21948407484257</v>
      </c>
    </row>
    <row r="98" spans="1:25" ht="12.75">
      <c r="A98" s="1" t="s">
        <v>65</v>
      </c>
      <c r="B98" t="s">
        <v>251</v>
      </c>
      <c r="C98" s="17">
        <v>22</v>
      </c>
      <c r="D98" s="10">
        <v>0</v>
      </c>
      <c r="E98" s="16">
        <f>(C98+D98/4)/24</f>
        <v>0.9166666666666666</v>
      </c>
      <c r="G98" s="12">
        <f>H98*0.9375</f>
        <v>34.875</v>
      </c>
      <c r="H98" s="12">
        <f>U98/R98</f>
        <v>37.2</v>
      </c>
      <c r="J98" s="12">
        <f>5760/H98</f>
        <v>154.83870967741933</v>
      </c>
      <c r="K98" s="12">
        <f>J98/480</f>
        <v>0.32258064516129026</v>
      </c>
      <c r="M98" s="12">
        <f>373.242/H98</f>
        <v>10.033387096774193</v>
      </c>
      <c r="N98" s="12">
        <f>M98*E98</f>
        <v>9.197271505376344</v>
      </c>
      <c r="O98" s="17">
        <f>(P98*12)+Q98</f>
        <v>240</v>
      </c>
      <c r="P98" s="17">
        <v>20</v>
      </c>
      <c r="Q98" s="10">
        <v>0</v>
      </c>
      <c r="R98" s="12">
        <f>(P98/20)+(Q98/240)</f>
        <v>1</v>
      </c>
      <c r="U98" s="12">
        <f>37+(4/20)</f>
        <v>37.2</v>
      </c>
      <c r="V98" s="12">
        <f>(1000/373.242/E98)*U98</f>
        <v>108.7278982049667</v>
      </c>
      <c r="W98" s="12">
        <f>240/O98*N98</f>
        <v>9.197271505376344</v>
      </c>
      <c r="X98" s="4">
        <f>(W98-W96)/W96</f>
        <v>-0.09946236559139784</v>
      </c>
      <c r="Y98" s="10">
        <f>(V98/$V$17)*100</f>
        <v>252.3153673905715</v>
      </c>
    </row>
    <row r="99" spans="1:25" ht="12.75">
      <c r="A99" s="1" t="s">
        <v>65</v>
      </c>
      <c r="B99" t="s">
        <v>122</v>
      </c>
      <c r="C99" s="17">
        <v>22</v>
      </c>
      <c r="D99" s="10">
        <v>0</v>
      </c>
      <c r="E99" s="16">
        <f>(C99+D99/4)/24</f>
        <v>0.9166666666666666</v>
      </c>
      <c r="G99" s="12">
        <f>H99*0.9375</f>
        <v>69.75</v>
      </c>
      <c r="H99" s="12">
        <f>U99/R99</f>
        <v>74.4</v>
      </c>
      <c r="J99" s="12">
        <f>5760/H99</f>
        <v>77.41935483870967</v>
      </c>
      <c r="K99" s="12">
        <f>J99/480</f>
        <v>0.16129032258064513</v>
      </c>
      <c r="M99" s="12">
        <f>373.242/H99</f>
        <v>5.016693548387097</v>
      </c>
      <c r="N99" s="12">
        <f>M99*E99</f>
        <v>4.598635752688172</v>
      </c>
      <c r="O99" s="17">
        <f>(P99*12)+Q99</f>
        <v>120</v>
      </c>
      <c r="P99" s="17">
        <v>10</v>
      </c>
      <c r="Q99" s="10">
        <v>0</v>
      </c>
      <c r="R99" s="12">
        <f>(P99/20)+(Q99/240)</f>
        <v>0.5</v>
      </c>
      <c r="U99" s="12">
        <f>37+(4/20)</f>
        <v>37.2</v>
      </c>
      <c r="V99" s="12">
        <f>(1000/373.242/E99)*U99</f>
        <v>108.7278982049667</v>
      </c>
      <c r="W99" s="12">
        <f>240/O99*N99</f>
        <v>9.197271505376344</v>
      </c>
      <c r="Y99" s="10">
        <f>(V99/$V$17)*100</f>
        <v>252.3153673905715</v>
      </c>
    </row>
    <row r="100" spans="1:25" ht="12.75">
      <c r="A100" s="1" t="s">
        <v>65</v>
      </c>
      <c r="B100" t="s">
        <v>116</v>
      </c>
      <c r="C100" s="17">
        <v>22</v>
      </c>
      <c r="D100" s="10">
        <v>0</v>
      </c>
      <c r="E100" s="16">
        <f>(C100+D100/4)/24</f>
        <v>0.9166666666666666</v>
      </c>
      <c r="G100" s="12">
        <f>H100*0.9375</f>
        <v>139.5</v>
      </c>
      <c r="H100" s="12">
        <f>U100/R100</f>
        <v>148.8</v>
      </c>
      <c r="J100" s="12">
        <f>5760/H100</f>
        <v>38.70967741935483</v>
      </c>
      <c r="K100" s="12">
        <f>J100/480</f>
        <v>0.08064516129032256</v>
      </c>
      <c r="M100" s="12">
        <f>373.242/H100</f>
        <v>2.5083467741935483</v>
      </c>
      <c r="N100" s="12">
        <f>M100*E100</f>
        <v>2.299317876344086</v>
      </c>
      <c r="O100" s="17">
        <f>(P100*12)+Q100</f>
        <v>60</v>
      </c>
      <c r="P100" s="17">
        <v>5</v>
      </c>
      <c r="Q100" s="10">
        <v>0</v>
      </c>
      <c r="R100" s="12">
        <f>(P100/20)+(Q100/240)</f>
        <v>0.25</v>
      </c>
      <c r="U100" s="12">
        <f>37+(4/20)</f>
        <v>37.2</v>
      </c>
      <c r="V100" s="12">
        <f>(1000/373.242/E100)*U100</f>
        <v>108.7278982049667</v>
      </c>
      <c r="W100" s="12">
        <f>240/O100*N100</f>
        <v>9.197271505376344</v>
      </c>
      <c r="Y100" s="10">
        <f>(V100/$V$17)*100</f>
        <v>252.3153673905715</v>
      </c>
    </row>
    <row r="101" spans="1:25" ht="12.75">
      <c r="A101" s="1" t="s">
        <v>65</v>
      </c>
      <c r="B101" t="s">
        <v>241</v>
      </c>
      <c r="C101" s="17">
        <v>22</v>
      </c>
      <c r="D101" s="10">
        <v>0</v>
      </c>
      <c r="E101" s="16">
        <f>(C101+D101/4)/24</f>
        <v>0.9166666666666666</v>
      </c>
      <c r="G101" s="12">
        <f>H101*0.9375</f>
        <v>174.375</v>
      </c>
      <c r="H101" s="12">
        <f>U101/R101</f>
        <v>186</v>
      </c>
      <c r="J101" s="12">
        <f>5760/H101</f>
        <v>30.967741935483872</v>
      </c>
      <c r="K101" s="12">
        <f>J101/480</f>
        <v>0.06451612903225806</v>
      </c>
      <c r="M101" s="12">
        <f>373.242/H101</f>
        <v>2.0066774193548387</v>
      </c>
      <c r="N101" s="12">
        <f>M101*E101</f>
        <v>1.8394543010752686</v>
      </c>
      <c r="O101" s="17">
        <f>(P101*12)+Q101</f>
        <v>48</v>
      </c>
      <c r="P101" s="17">
        <v>4</v>
      </c>
      <c r="Q101" s="10">
        <v>0</v>
      </c>
      <c r="R101" s="12">
        <f>(P101/20)+(Q101/240)</f>
        <v>0.2</v>
      </c>
      <c r="U101" s="12">
        <f>37+(4/20)</f>
        <v>37.2</v>
      </c>
      <c r="V101" s="12">
        <f>(1000/373.242/E101)*U101</f>
        <v>108.7278982049667</v>
      </c>
      <c r="W101" s="12">
        <f>240/O101*N101</f>
        <v>9.197271505376342</v>
      </c>
      <c r="Y101" s="10">
        <f>(V101/$V$17)*100</f>
        <v>252.3153673905715</v>
      </c>
    </row>
    <row r="103" spans="1:25" ht="12.75">
      <c r="A103" s="1" t="s">
        <v>66</v>
      </c>
      <c r="B103" t="s">
        <v>218</v>
      </c>
      <c r="C103" s="17">
        <v>23</v>
      </c>
      <c r="D103" s="10">
        <v>3.5</v>
      </c>
      <c r="E103" s="16">
        <f>(C103+D103/4)/24</f>
        <v>0.9947916666666666</v>
      </c>
      <c r="G103" s="12">
        <f>H103*0.9375</f>
        <v>25.3125</v>
      </c>
      <c r="H103" s="12">
        <f>U103/R103</f>
        <v>27</v>
      </c>
      <c r="J103" s="12">
        <f>5760/H103</f>
        <v>213.33333333333334</v>
      </c>
      <c r="K103" s="12">
        <f>J103/480</f>
        <v>0.4444444444444445</v>
      </c>
      <c r="M103" s="12">
        <f>373.242/H103</f>
        <v>13.823777777777778</v>
      </c>
      <c r="N103" s="12">
        <f>M103*E103</f>
        <v>13.751778935185184</v>
      </c>
      <c r="O103" s="17">
        <f>(P103*12)+Q103</f>
        <v>360</v>
      </c>
      <c r="P103" s="17">
        <v>30</v>
      </c>
      <c r="Q103" s="10">
        <v>0</v>
      </c>
      <c r="R103" s="12">
        <f>(P103/20)+(Q103/240)</f>
        <v>1.5</v>
      </c>
      <c r="U103" s="12">
        <f>40+(10/20)</f>
        <v>40.5</v>
      </c>
      <c r="V103" s="12">
        <f>(1000/373.242/E103)*U103</f>
        <v>109.07679705075194</v>
      </c>
      <c r="W103" s="12">
        <f>240/O103*N103</f>
        <v>9.167852623456788</v>
      </c>
      <c r="X103" s="4">
        <f>(W103-W101)/W101</f>
        <v>-0.003198653198653203</v>
      </c>
      <c r="Y103" s="10">
        <f>(V103/$V$17)*100</f>
        <v>253.12502656645748</v>
      </c>
    </row>
    <row r="104" spans="1:25" ht="12.75">
      <c r="A104" s="1" t="s">
        <v>66</v>
      </c>
      <c r="B104" t="s">
        <v>230</v>
      </c>
      <c r="C104" s="17">
        <v>23</v>
      </c>
      <c r="D104" s="10">
        <v>3.5</v>
      </c>
      <c r="E104" s="16">
        <f>(C104+D104/4)/24</f>
        <v>0.9947916666666666</v>
      </c>
      <c r="G104" s="12">
        <f>H104*0.9375</f>
        <v>50.625</v>
      </c>
      <c r="H104" s="12">
        <f>U104/R104</f>
        <v>54</v>
      </c>
      <c r="J104" s="12">
        <f>5760/H104</f>
        <v>106.66666666666667</v>
      </c>
      <c r="K104" s="12">
        <f>J104/480</f>
        <v>0.22222222222222224</v>
      </c>
      <c r="M104" s="12">
        <f>373.242/H104</f>
        <v>6.911888888888889</v>
      </c>
      <c r="N104" s="12">
        <f>M104*E104</f>
        <v>6.875889467592592</v>
      </c>
      <c r="O104" s="17">
        <f>(P104*12)+Q104</f>
        <v>180</v>
      </c>
      <c r="P104" s="17">
        <v>15</v>
      </c>
      <c r="Q104" s="10">
        <v>0</v>
      </c>
      <c r="R104" s="12">
        <f>(P104/20)+(Q104/240)</f>
        <v>0.75</v>
      </c>
      <c r="U104" s="12">
        <f>40+(10/20)</f>
        <v>40.5</v>
      </c>
      <c r="V104" s="12">
        <f>(1000/373.242/E104)*U104</f>
        <v>109.07679705075194</v>
      </c>
      <c r="W104" s="12">
        <f>240/O104*N104</f>
        <v>9.167852623456788</v>
      </c>
      <c r="Y104" s="10">
        <f>(V104/$V$17)*100</f>
        <v>253.12502656645748</v>
      </c>
    </row>
    <row r="105" spans="1:25" ht="12.75">
      <c r="A105" s="1" t="s">
        <v>66</v>
      </c>
      <c r="B105" t="s">
        <v>104</v>
      </c>
      <c r="C105" s="17">
        <v>23</v>
      </c>
      <c r="D105" s="10">
        <v>3.5</v>
      </c>
      <c r="E105" s="16">
        <f>(C105+D105/4)/24</f>
        <v>0.9947916666666666</v>
      </c>
      <c r="G105" s="12">
        <f>H105*0.9375</f>
        <v>75.9375</v>
      </c>
      <c r="H105" s="12">
        <f>U105/R105</f>
        <v>81</v>
      </c>
      <c r="J105" s="12">
        <f>5760/H105</f>
        <v>71.11111111111111</v>
      </c>
      <c r="K105" s="12">
        <f>J105/480</f>
        <v>0.14814814814814817</v>
      </c>
      <c r="M105" s="12">
        <f>373.242/H105</f>
        <v>4.607925925925926</v>
      </c>
      <c r="N105" s="12">
        <f>M105*E105</f>
        <v>4.583926311728395</v>
      </c>
      <c r="O105" s="17">
        <f>(P105*12)+Q105</f>
        <v>120</v>
      </c>
      <c r="P105" s="17">
        <v>10</v>
      </c>
      <c r="Q105" s="10">
        <v>0</v>
      </c>
      <c r="R105" s="12">
        <f>(P105/20)+(Q105/240)</f>
        <v>0.5</v>
      </c>
      <c r="U105" s="12">
        <f>40+(10/20)</f>
        <v>40.5</v>
      </c>
      <c r="V105" s="12">
        <f>(1000/373.242/E105)*U105</f>
        <v>109.07679705075194</v>
      </c>
      <c r="W105" s="12">
        <f>240/O105*N105</f>
        <v>9.16785262345679</v>
      </c>
      <c r="Y105" s="10">
        <f>(V105/$V$17)*100</f>
        <v>253.12502656645748</v>
      </c>
    </row>
    <row r="107" spans="1:25" ht="12.75">
      <c r="A107" s="1" t="s">
        <v>67</v>
      </c>
      <c r="B107" t="s">
        <v>218</v>
      </c>
      <c r="C107" s="17">
        <v>23</v>
      </c>
      <c r="D107" s="10">
        <v>3.5</v>
      </c>
      <c r="E107" s="16">
        <f>(C107+D107/4)/24</f>
        <v>0.9947916666666666</v>
      </c>
      <c r="G107" s="12">
        <f>H107*0.9375</f>
        <v>25.3125</v>
      </c>
      <c r="H107" s="12">
        <f>U107/R107</f>
        <v>27</v>
      </c>
      <c r="J107" s="12">
        <f>5760/H107</f>
        <v>213.33333333333334</v>
      </c>
      <c r="K107" s="12">
        <f>J107/480</f>
        <v>0.4444444444444445</v>
      </c>
      <c r="M107" s="12">
        <f>373.242/H107</f>
        <v>13.823777777777778</v>
      </c>
      <c r="N107" s="12">
        <f>M107*E107</f>
        <v>13.751778935185184</v>
      </c>
      <c r="O107" s="17">
        <f>(P107*12)+Q107</f>
        <v>396</v>
      </c>
      <c r="P107" s="17">
        <v>33</v>
      </c>
      <c r="Q107" s="10">
        <v>0</v>
      </c>
      <c r="R107" s="12">
        <f>(P107/20)+(Q107/240)</f>
        <v>1.65</v>
      </c>
      <c r="U107" s="12">
        <f>44+(11/20)</f>
        <v>44.55</v>
      </c>
      <c r="V107" s="12">
        <f>(1000/373.242/E107)*U107</f>
        <v>119.98447675582712</v>
      </c>
      <c r="W107" s="12">
        <f>240/O107*N107</f>
        <v>8.334411475869809</v>
      </c>
      <c r="X107" s="4">
        <f>(W107-W105)/W105</f>
        <v>-0.09090909090909097</v>
      </c>
      <c r="Y107" s="10">
        <f>(V107/$V$17)*100</f>
        <v>278.4375292231032</v>
      </c>
    </row>
    <row r="108" spans="1:25" ht="12.75">
      <c r="A108" s="1" t="s">
        <v>67</v>
      </c>
      <c r="B108" t="s">
        <v>230</v>
      </c>
      <c r="C108" s="17">
        <v>23</v>
      </c>
      <c r="D108" s="10">
        <v>3.5</v>
      </c>
      <c r="E108" s="16">
        <f>(C108+D108/4)/24</f>
        <v>0.9947916666666666</v>
      </c>
      <c r="G108" s="12">
        <f>H108*0.9375</f>
        <v>50.62499999999999</v>
      </c>
      <c r="H108" s="12">
        <f>U108/R108</f>
        <v>53.99999999999999</v>
      </c>
      <c r="J108" s="12">
        <f>5760/H108</f>
        <v>106.66666666666669</v>
      </c>
      <c r="K108" s="12">
        <f>J108/480</f>
        <v>0.22222222222222227</v>
      </c>
      <c r="M108" s="12">
        <f>373.242/H108</f>
        <v>6.91188888888889</v>
      </c>
      <c r="N108" s="12">
        <f>M108*E108</f>
        <v>6.875889467592593</v>
      </c>
      <c r="O108" s="17">
        <f>(P108*12)+Q108</f>
        <v>198</v>
      </c>
      <c r="P108" s="17">
        <v>16</v>
      </c>
      <c r="Q108" s="10">
        <v>6</v>
      </c>
      <c r="R108" s="12">
        <f>(P108/20)+(Q108/240)</f>
        <v>0.8250000000000001</v>
      </c>
      <c r="U108" s="12">
        <f>44+(11/20)</f>
        <v>44.55</v>
      </c>
      <c r="V108" s="12">
        <f>(1000/373.242/E108)*U108</f>
        <v>119.98447675582712</v>
      </c>
      <c r="W108" s="12">
        <f>240/O108*N108</f>
        <v>8.33441147586981</v>
      </c>
      <c r="Y108" s="10">
        <f>(V108/$V$17)*100</f>
        <v>278.4375292231032</v>
      </c>
    </row>
    <row r="109" spans="1:25" ht="12.75">
      <c r="A109" s="1" t="s">
        <v>67</v>
      </c>
      <c r="B109" t="s">
        <v>104</v>
      </c>
      <c r="C109" s="17">
        <v>23</v>
      </c>
      <c r="D109" s="10">
        <v>3.5</v>
      </c>
      <c r="E109" s="16">
        <f>(C109+D109/4)/24</f>
        <v>0.9947916666666666</v>
      </c>
      <c r="G109" s="12">
        <f>H109*0.9375</f>
        <v>75.93749999999999</v>
      </c>
      <c r="H109" s="12">
        <f>U109/R109</f>
        <v>80.99999999999999</v>
      </c>
      <c r="J109" s="12">
        <f>5760/H109</f>
        <v>71.11111111111113</v>
      </c>
      <c r="K109" s="12">
        <f>J109/480</f>
        <v>0.1481481481481482</v>
      </c>
      <c r="M109" s="12">
        <f>373.242/H109</f>
        <v>4.607925925925927</v>
      </c>
      <c r="N109" s="12">
        <f>M109*E109</f>
        <v>4.583926311728396</v>
      </c>
      <c r="O109" s="17">
        <f>(P109*12)+Q109</f>
        <v>132</v>
      </c>
      <c r="P109" s="17">
        <v>11</v>
      </c>
      <c r="Q109" s="10">
        <v>0</v>
      </c>
      <c r="R109" s="12">
        <f>(P109/20)+(Q109/240)</f>
        <v>0.55</v>
      </c>
      <c r="U109" s="12">
        <f>44+(11/20)</f>
        <v>44.55</v>
      </c>
      <c r="V109" s="12">
        <f>(1000/373.242/E109)*U109</f>
        <v>119.98447675582712</v>
      </c>
      <c r="W109" s="12">
        <f>240/O109*N109</f>
        <v>8.33441147586981</v>
      </c>
      <c r="Y109" s="10">
        <f>(V109/$V$17)*100</f>
        <v>278.4375292231032</v>
      </c>
    </row>
    <row r="110" spans="1:25" ht="12.75">
      <c r="A110" s="1" t="s">
        <v>67</v>
      </c>
      <c r="B110" t="s">
        <v>116</v>
      </c>
      <c r="C110" s="17">
        <v>23</v>
      </c>
      <c r="D110" s="10">
        <v>3.5</v>
      </c>
      <c r="E110" s="16">
        <f>(C110+D110/4)/24</f>
        <v>0.9947916666666666</v>
      </c>
      <c r="G110" s="12">
        <f>H110*0.9375</f>
        <v>151.87499999999997</v>
      </c>
      <c r="H110" s="12">
        <f>U110/R110</f>
        <v>161.99999999999997</v>
      </c>
      <c r="J110" s="12">
        <f>5760/H110</f>
        <v>35.555555555555564</v>
      </c>
      <c r="K110" s="12">
        <f>J110/480</f>
        <v>0.0740740740740741</v>
      </c>
      <c r="M110" s="12">
        <f>373.242/H110</f>
        <v>2.3039629629629634</v>
      </c>
      <c r="N110" s="12">
        <f>M110*E110</f>
        <v>2.291963155864198</v>
      </c>
      <c r="O110" s="17">
        <f>(P110*12)+Q110</f>
        <v>66</v>
      </c>
      <c r="P110" s="17">
        <v>5</v>
      </c>
      <c r="Q110" s="10">
        <v>6</v>
      </c>
      <c r="R110" s="12">
        <f>(P110/20)+(Q110/240)</f>
        <v>0.275</v>
      </c>
      <c r="U110" s="12">
        <f>44+(11/20)</f>
        <v>44.55</v>
      </c>
      <c r="V110" s="12">
        <f>(1000/373.242/E110)*U110</f>
        <v>119.98447675582712</v>
      </c>
      <c r="W110" s="12">
        <f>240/O110*N110</f>
        <v>8.33441147586981</v>
      </c>
      <c r="Y110" s="10">
        <f>(V110/$V$17)*100</f>
        <v>278.4375292231032</v>
      </c>
    </row>
    <row r="112" spans="1:25" ht="12.75">
      <c r="A112" s="1" t="s">
        <v>67</v>
      </c>
      <c r="B112" t="s">
        <v>251</v>
      </c>
      <c r="C112" s="17">
        <v>22</v>
      </c>
      <c r="D112" s="10">
        <v>0</v>
      </c>
      <c r="E112" s="16">
        <f>(C112+D112/4)/24</f>
        <v>0.9166666666666666</v>
      </c>
      <c r="G112" s="12">
        <f>H112*0.9375</f>
        <v>34.85795454545455</v>
      </c>
      <c r="H112" s="12">
        <f>U112/R112</f>
        <v>37.18181818181818</v>
      </c>
      <c r="J112" s="12">
        <f>5760/H112</f>
        <v>154.91442542787286</v>
      </c>
      <c r="K112" s="12">
        <f>J112/480</f>
        <v>0.32273838630806845</v>
      </c>
      <c r="M112" s="12">
        <f>373.242/H112</f>
        <v>10.038293398533009</v>
      </c>
      <c r="N112" s="12">
        <f>M112*E112</f>
        <v>9.201768948655257</v>
      </c>
      <c r="O112" s="17">
        <f>(P112*12)+Q112</f>
        <v>264</v>
      </c>
      <c r="P112" s="17">
        <v>22</v>
      </c>
      <c r="Q112" s="10">
        <v>0</v>
      </c>
      <c r="R112" s="12">
        <f>(P112/20)+(Q112/240)</f>
        <v>1.1</v>
      </c>
      <c r="U112" s="12">
        <f>40+(18/20)</f>
        <v>40.9</v>
      </c>
      <c r="V112" s="12">
        <f>(1000/373.242/E112)*U112</f>
        <v>119.54223216621338</v>
      </c>
      <c r="W112" s="12">
        <f>240/O112*N112</f>
        <v>8.365244498777505</v>
      </c>
      <c r="X112" s="4">
        <f>(W112-W110)/W110</f>
        <v>0.0036994841203801844</v>
      </c>
      <c r="Y112" s="10">
        <f>(V112/$V$17)*100</f>
        <v>277.4112507063004</v>
      </c>
    </row>
    <row r="113" spans="1:25" ht="12.75">
      <c r="A113" s="1" t="s">
        <v>67</v>
      </c>
      <c r="B113" t="s">
        <v>122</v>
      </c>
      <c r="C113" s="17">
        <v>22</v>
      </c>
      <c r="D113" s="10">
        <v>0</v>
      </c>
      <c r="E113" s="16">
        <f>(C113+D113/4)/24</f>
        <v>0.9166666666666666</v>
      </c>
      <c r="G113" s="12">
        <f>H113*0.9375</f>
        <v>69.7159090909091</v>
      </c>
      <c r="H113" s="12">
        <f>U113/R113</f>
        <v>74.36363636363636</v>
      </c>
      <c r="J113" s="12">
        <f>5760/H113</f>
        <v>77.45721271393643</v>
      </c>
      <c r="K113" s="12">
        <f>J113/480</f>
        <v>0.16136919315403422</v>
      </c>
      <c r="M113" s="12">
        <f>373.242/H113</f>
        <v>5.019146699266504</v>
      </c>
      <c r="N113" s="12">
        <f>M113*E113</f>
        <v>4.6008844743276285</v>
      </c>
      <c r="O113" s="17">
        <f>(P113*12)+Q113</f>
        <v>132</v>
      </c>
      <c r="P113" s="17">
        <v>11</v>
      </c>
      <c r="Q113" s="10">
        <v>0</v>
      </c>
      <c r="R113" s="12">
        <f>(P113/20)+(Q113/240)</f>
        <v>0.55</v>
      </c>
      <c r="U113" s="12">
        <f>40+(18/20)</f>
        <v>40.9</v>
      </c>
      <c r="V113" s="12">
        <f>(1000/373.242/E113)*U113</f>
        <v>119.54223216621338</v>
      </c>
      <c r="W113" s="12">
        <f>240/O113*N113</f>
        <v>8.365244498777505</v>
      </c>
      <c r="Y113" s="10">
        <f>(V113/$V$17)*100</f>
        <v>277.4112507063004</v>
      </c>
    </row>
    <row r="114" spans="1:25" ht="12.75">
      <c r="A114" s="1" t="s">
        <v>67</v>
      </c>
      <c r="B114" t="s">
        <v>116</v>
      </c>
      <c r="C114" s="17">
        <v>22</v>
      </c>
      <c r="D114" s="10">
        <v>0</v>
      </c>
      <c r="E114" s="16">
        <f>(C114+D114/4)/24</f>
        <v>0.9166666666666666</v>
      </c>
      <c r="G114" s="12">
        <f>H114*0.9375</f>
        <v>139.4318181818182</v>
      </c>
      <c r="H114" s="12">
        <f>U114/R114</f>
        <v>148.72727272727272</v>
      </c>
      <c r="J114" s="12">
        <f>5760/H114</f>
        <v>38.728606356968214</v>
      </c>
      <c r="K114" s="12">
        <f>J114/480</f>
        <v>0.08068459657701711</v>
      </c>
      <c r="M114" s="12">
        <f>373.242/H114</f>
        <v>2.509573349633252</v>
      </c>
      <c r="N114" s="12">
        <f>M114*E114</f>
        <v>2.3004422371638142</v>
      </c>
      <c r="O114" s="17">
        <f>(P114*12)+Q114</f>
        <v>66</v>
      </c>
      <c r="P114" s="17">
        <v>5</v>
      </c>
      <c r="Q114" s="10">
        <v>6</v>
      </c>
      <c r="R114" s="12">
        <f>(P114/20)+(Q114/240)</f>
        <v>0.275</v>
      </c>
      <c r="U114" s="12">
        <f>40+(18/20)</f>
        <v>40.9</v>
      </c>
      <c r="V114" s="12">
        <f>(1000/373.242/E114)*U114</f>
        <v>119.54223216621338</v>
      </c>
      <c r="W114" s="12">
        <f>240/O114*N114</f>
        <v>8.365244498777505</v>
      </c>
      <c r="Y114" s="10">
        <f>(V114/$V$17)*100</f>
        <v>277.4112507063004</v>
      </c>
    </row>
    <row r="115" spans="1:25" ht="12.75">
      <c r="A115" s="1" t="s">
        <v>67</v>
      </c>
      <c r="B115" t="s">
        <v>241</v>
      </c>
      <c r="C115" s="17">
        <v>22</v>
      </c>
      <c r="D115" s="10">
        <v>0</v>
      </c>
      <c r="E115" s="16">
        <f>(C115+D115/4)/24</f>
        <v>0.9166666666666666</v>
      </c>
      <c r="G115" s="12">
        <f>H115*0.9375</f>
        <v>174.45497630331752</v>
      </c>
      <c r="H115" s="12">
        <f>U115/R115</f>
        <v>186.08530805687204</v>
      </c>
      <c r="J115" s="12">
        <f>5760/H115</f>
        <v>30.95354523227384</v>
      </c>
      <c r="K115" s="12">
        <f>J115/480</f>
        <v>0.06448655256723716</v>
      </c>
      <c r="M115" s="12">
        <f>373.242/H115</f>
        <v>2.0057574877750612</v>
      </c>
      <c r="N115" s="12">
        <f>M115*E115</f>
        <v>1.8386110304604728</v>
      </c>
      <c r="O115" s="17">
        <f>(P115*12)+Q115</f>
        <v>52.75</v>
      </c>
      <c r="P115" s="17">
        <v>4</v>
      </c>
      <c r="Q115" s="10">
        <v>4.75</v>
      </c>
      <c r="R115" s="12">
        <f>(P115/20)+(Q115/240)</f>
        <v>0.21979166666666666</v>
      </c>
      <c r="U115" s="12">
        <f>40+(18/20)</f>
        <v>40.9</v>
      </c>
      <c r="V115" s="12">
        <f>(1000/373.242/E115)*U115</f>
        <v>119.54223216621338</v>
      </c>
      <c r="W115" s="12">
        <f>240/O115*N115</f>
        <v>8.365244498777507</v>
      </c>
      <c r="Y115" s="10">
        <f>(V115/$V$17)*100</f>
        <v>277.4112507063004</v>
      </c>
    </row>
    <row r="117" spans="1:25" ht="12.75">
      <c r="A117" s="1" t="s">
        <v>68</v>
      </c>
      <c r="B117" t="s">
        <v>218</v>
      </c>
      <c r="C117" s="17">
        <v>23</v>
      </c>
      <c r="D117" s="10">
        <v>3.5</v>
      </c>
      <c r="E117" s="16">
        <f>(C117+D117/4)/24</f>
        <v>0.9947916666666666</v>
      </c>
      <c r="G117" s="12">
        <f>H117*0.9375</f>
        <v>27.8125</v>
      </c>
      <c r="H117" s="12">
        <f>U117/R117</f>
        <v>29.666666666666668</v>
      </c>
      <c r="J117" s="12">
        <f>5760/H117</f>
        <v>194.1573033707865</v>
      </c>
      <c r="K117" s="12">
        <f>J117/480</f>
        <v>0.4044943820224719</v>
      </c>
      <c r="M117" s="12">
        <f>373.242/H117</f>
        <v>12.581191011235955</v>
      </c>
      <c r="N117" s="12">
        <f>M117*E117</f>
        <v>12.5156639747191</v>
      </c>
      <c r="O117" s="17">
        <f>(P117*12)+Q117</f>
        <v>360</v>
      </c>
      <c r="P117" s="17">
        <v>30</v>
      </c>
      <c r="Q117" s="10">
        <v>0</v>
      </c>
      <c r="R117" s="12">
        <f>(P117/20)+(Q117/240)</f>
        <v>1.5</v>
      </c>
      <c r="U117" s="12">
        <f>44+(10/20)</f>
        <v>44.5</v>
      </c>
      <c r="V117" s="12">
        <f>(1000/373.242/E117)*U117</f>
        <v>119.84981404341879</v>
      </c>
      <c r="W117" s="12">
        <f>240/O117*N117</f>
        <v>8.343775983146067</v>
      </c>
      <c r="X117" s="4">
        <f>(W117-W115)/W115</f>
        <v>-0.002566394279877612</v>
      </c>
      <c r="Y117" s="10">
        <f>(V117/$V$17)*100</f>
        <v>278.1250291903051</v>
      </c>
    </row>
    <row r="118" spans="1:25" ht="12.75">
      <c r="A118" s="1" t="s">
        <v>68</v>
      </c>
      <c r="B118" t="s">
        <v>230</v>
      </c>
      <c r="C118" s="17">
        <v>23</v>
      </c>
      <c r="D118" s="10">
        <v>3.5</v>
      </c>
      <c r="E118" s="16">
        <f>(C118+D118/4)/24</f>
        <v>0.9947916666666666</v>
      </c>
      <c r="G118" s="12">
        <f>H118*0.9375</f>
        <v>55.625</v>
      </c>
      <c r="H118" s="12">
        <f>U118/R118</f>
        <v>59.333333333333336</v>
      </c>
      <c r="J118" s="12">
        <f>5760/H118</f>
        <v>97.07865168539325</v>
      </c>
      <c r="K118" s="12">
        <f>J118/480</f>
        <v>0.20224719101123595</v>
      </c>
      <c r="M118" s="12">
        <f>373.242/H118</f>
        <v>6.290595505617977</v>
      </c>
      <c r="N118" s="12">
        <f>M118*E118</f>
        <v>6.25783198735955</v>
      </c>
      <c r="O118" s="17">
        <f>(P118*12)+Q118</f>
        <v>180</v>
      </c>
      <c r="P118" s="17">
        <v>15</v>
      </c>
      <c r="Q118" s="10">
        <v>0</v>
      </c>
      <c r="R118" s="12">
        <f>(P118/20)+(Q118/240)</f>
        <v>0.75</v>
      </c>
      <c r="U118" s="12">
        <f>44+(10/20)</f>
        <v>44.5</v>
      </c>
      <c r="V118" s="12">
        <f>(1000/373.242/E118)*U118</f>
        <v>119.84981404341879</v>
      </c>
      <c r="W118" s="12">
        <f>240/O118*N118</f>
        <v>8.343775983146067</v>
      </c>
      <c r="Y118" s="10">
        <f>(V118/$V$17)*100</f>
        <v>278.1250291903051</v>
      </c>
    </row>
    <row r="119" spans="1:25" ht="12.75">
      <c r="A119" s="1" t="s">
        <v>68</v>
      </c>
      <c r="B119" t="s">
        <v>104</v>
      </c>
      <c r="C119" s="17">
        <v>23</v>
      </c>
      <c r="D119" s="10">
        <v>3.5</v>
      </c>
      <c r="E119" s="16">
        <f>(C119+D119/4)/24</f>
        <v>0.9947916666666666</v>
      </c>
      <c r="G119" s="12">
        <f>H119*0.9375</f>
        <v>83.4375</v>
      </c>
      <c r="H119" s="12">
        <f>U119/R119</f>
        <v>89</v>
      </c>
      <c r="J119" s="12">
        <f>5760/H119</f>
        <v>64.71910112359551</v>
      </c>
      <c r="K119" s="12">
        <f>J119/480</f>
        <v>0.1348314606741573</v>
      </c>
      <c r="M119" s="12">
        <f>373.242/H119</f>
        <v>4.193730337078652</v>
      </c>
      <c r="N119" s="12">
        <f>M119*E119</f>
        <v>4.171887991573033</v>
      </c>
      <c r="O119" s="17">
        <f>(P119*12)+Q119</f>
        <v>120</v>
      </c>
      <c r="P119" s="17">
        <v>10</v>
      </c>
      <c r="Q119" s="10">
        <v>0</v>
      </c>
      <c r="R119" s="12">
        <f>(P119/20)+(Q119/240)</f>
        <v>0.5</v>
      </c>
      <c r="U119" s="12">
        <f>44+(10/20)</f>
        <v>44.5</v>
      </c>
      <c r="V119" s="12">
        <f>(1000/373.242/E119)*U119</f>
        <v>119.84981404341879</v>
      </c>
      <c r="W119" s="12">
        <f>240/O119*N119</f>
        <v>8.343775983146067</v>
      </c>
      <c r="Y119" s="10">
        <f>(V119/$V$17)*100</f>
        <v>278.1250291903051</v>
      </c>
    </row>
    <row r="121" spans="1:25" ht="12.75">
      <c r="A121" s="1" t="s">
        <v>68</v>
      </c>
      <c r="B121" t="s">
        <v>251</v>
      </c>
      <c r="C121" s="17">
        <v>22</v>
      </c>
      <c r="D121" s="10">
        <v>0</v>
      </c>
      <c r="E121" s="16">
        <f>(C121+D121/4)/24</f>
        <v>0.9166666666666666</v>
      </c>
      <c r="G121" s="12">
        <f>H121*0.9375</f>
        <v>38.4375</v>
      </c>
      <c r="H121" s="12">
        <f>U121/R121</f>
        <v>41</v>
      </c>
      <c r="J121" s="12">
        <f>5760/H121</f>
        <v>140.4878048780488</v>
      </c>
      <c r="K121" s="12">
        <f>J121/480</f>
        <v>0.29268292682926833</v>
      </c>
      <c r="M121" s="12">
        <f>373.242/H121</f>
        <v>9.103463414634147</v>
      </c>
      <c r="N121" s="12">
        <f>M121*E121</f>
        <v>8.344841463414635</v>
      </c>
      <c r="O121" s="17">
        <f>(P121*12)+Q121</f>
        <v>240</v>
      </c>
      <c r="P121" s="17">
        <v>20</v>
      </c>
      <c r="Q121" s="10">
        <v>0</v>
      </c>
      <c r="R121" s="12">
        <f>(P121/20)+(Q121/240)</f>
        <v>1</v>
      </c>
      <c r="U121" s="12">
        <v>41</v>
      </c>
      <c r="V121" s="12">
        <f>(1000/373.242/E121)*U121</f>
        <v>119.8345114624633</v>
      </c>
      <c r="W121" s="12">
        <f>240/O121*N121</f>
        <v>8.344841463414635</v>
      </c>
      <c r="X121" s="4">
        <f>(W121-W119)/W119</f>
        <v>0.0001276976120548743</v>
      </c>
      <c r="Y121" s="10">
        <f>(V121/$V$17)*100</f>
        <v>278.08951782294173</v>
      </c>
    </row>
    <row r="122" spans="1:25" ht="12.75">
      <c r="A122" s="1" t="s">
        <v>68</v>
      </c>
      <c r="B122" t="s">
        <v>122</v>
      </c>
      <c r="C122" s="17">
        <v>22</v>
      </c>
      <c r="D122" s="10">
        <v>0</v>
      </c>
      <c r="E122" s="16">
        <f>(C122+D122/4)/24</f>
        <v>0.9166666666666666</v>
      </c>
      <c r="G122" s="12">
        <f>H122*0.9375</f>
        <v>76.875</v>
      </c>
      <c r="H122" s="12">
        <f>U122/R122</f>
        <v>82</v>
      </c>
      <c r="J122" s="12">
        <f>5760/H122</f>
        <v>70.2439024390244</v>
      </c>
      <c r="K122" s="12">
        <f>J122/480</f>
        <v>0.14634146341463417</v>
      </c>
      <c r="M122" s="12">
        <f>373.242/H122</f>
        <v>4.5517317073170735</v>
      </c>
      <c r="N122" s="12">
        <f>M122*E122</f>
        <v>4.172420731707318</v>
      </c>
      <c r="O122" s="17">
        <f>(P122*12)+Q122</f>
        <v>120</v>
      </c>
      <c r="P122" s="17">
        <v>10</v>
      </c>
      <c r="Q122" s="10">
        <v>0</v>
      </c>
      <c r="R122" s="12">
        <f>(P122/20)+(Q122/240)</f>
        <v>0.5</v>
      </c>
      <c r="U122" s="12">
        <v>41</v>
      </c>
      <c r="V122" s="12">
        <f>(1000/373.242/E122)*U122</f>
        <v>119.8345114624633</v>
      </c>
      <c r="W122" s="12">
        <f>240/O122*N122</f>
        <v>8.344841463414635</v>
      </c>
      <c r="Y122" s="10">
        <f>(V122/$V$17)*100</f>
        <v>278.08951782294173</v>
      </c>
    </row>
    <row r="123" spans="1:25" ht="12.75">
      <c r="A123" s="1" t="s">
        <v>68</v>
      </c>
      <c r="B123" t="s">
        <v>116</v>
      </c>
      <c r="C123" s="17">
        <v>22</v>
      </c>
      <c r="D123" s="10">
        <v>0</v>
      </c>
      <c r="E123" s="16">
        <f>(C123+D123/4)/24</f>
        <v>0.9166666666666666</v>
      </c>
      <c r="G123" s="12">
        <f>H123*0.9375</f>
        <v>153.75</v>
      </c>
      <c r="H123" s="12">
        <f>U123/R123</f>
        <v>164</v>
      </c>
      <c r="J123" s="12">
        <f>5760/H123</f>
        <v>35.1219512195122</v>
      </c>
      <c r="K123" s="12">
        <f>J123/480</f>
        <v>0.07317073170731708</v>
      </c>
      <c r="M123" s="12">
        <f>373.242/H123</f>
        <v>2.2758658536585368</v>
      </c>
      <c r="N123" s="12">
        <f>M123*E123</f>
        <v>2.086210365853659</v>
      </c>
      <c r="O123" s="17">
        <f>(P123*12)+Q123</f>
        <v>60</v>
      </c>
      <c r="P123" s="17">
        <v>5</v>
      </c>
      <c r="Q123" s="10">
        <v>0</v>
      </c>
      <c r="R123" s="12">
        <f>(P123/20)+(Q123/240)</f>
        <v>0.25</v>
      </c>
      <c r="U123" s="12">
        <v>41</v>
      </c>
      <c r="V123" s="12">
        <f>(1000/373.242/E123)*U123</f>
        <v>119.8345114624633</v>
      </c>
      <c r="W123" s="12">
        <f>240/O123*N123</f>
        <v>8.344841463414635</v>
      </c>
      <c r="Y123" s="10">
        <f>(V123/$V$17)*100</f>
        <v>278.08951782294173</v>
      </c>
    </row>
    <row r="125" spans="1:25" ht="12.75">
      <c r="A125" s="1" t="s">
        <v>69</v>
      </c>
      <c r="B125" t="s">
        <v>251</v>
      </c>
      <c r="C125" s="17">
        <v>22</v>
      </c>
      <c r="D125" s="10">
        <v>0</v>
      </c>
      <c r="E125" s="16">
        <f>(C125+D125/4)/24</f>
        <v>0.9166666666666666</v>
      </c>
      <c r="G125" s="12">
        <f>H125*0.9375</f>
        <v>41.25</v>
      </c>
      <c r="H125" s="12">
        <f>U125/R125</f>
        <v>44</v>
      </c>
      <c r="J125" s="12">
        <f>5760/H125</f>
        <v>130.9090909090909</v>
      </c>
      <c r="K125" s="12">
        <f>J125/480</f>
        <v>0.2727272727272727</v>
      </c>
      <c r="M125" s="12">
        <f>373.242/H125</f>
        <v>8.482772727272728</v>
      </c>
      <c r="N125" s="12">
        <f>M125*E125</f>
        <v>7.775875</v>
      </c>
      <c r="O125" s="17">
        <f>(P125*12)+Q125</f>
        <v>240</v>
      </c>
      <c r="P125" s="17">
        <v>20</v>
      </c>
      <c r="Q125" s="10">
        <v>0</v>
      </c>
      <c r="R125" s="12">
        <f>(P125/20)+(Q125/240)</f>
        <v>1</v>
      </c>
      <c r="U125" s="12">
        <v>44</v>
      </c>
      <c r="V125" s="12">
        <f>(1000/373.242/E125)*U125</f>
        <v>128.6028903499606</v>
      </c>
      <c r="W125" s="12">
        <f>240/O125*N125</f>
        <v>7.775875</v>
      </c>
      <c r="X125" s="4">
        <f>(W125-W123)/W123</f>
        <v>-0.0681818181818183</v>
      </c>
      <c r="Y125" s="10">
        <f>(V125/$V$17)*100</f>
        <v>298.4375313221813</v>
      </c>
    </row>
    <row r="126" spans="1:25" ht="12.75">
      <c r="A126" s="1" t="s">
        <v>69</v>
      </c>
      <c r="B126" t="s">
        <v>122</v>
      </c>
      <c r="C126" s="17">
        <v>22</v>
      </c>
      <c r="D126" s="10">
        <v>0</v>
      </c>
      <c r="E126" s="16">
        <f>(C126+D126/4)/24</f>
        <v>0.9166666666666666</v>
      </c>
      <c r="G126" s="12">
        <f>H126*0.9375</f>
        <v>82.5</v>
      </c>
      <c r="H126" s="12">
        <f>U126/R126</f>
        <v>88</v>
      </c>
      <c r="J126" s="12">
        <f>5760/H126</f>
        <v>65.45454545454545</v>
      </c>
      <c r="K126" s="12">
        <f>J126/480</f>
        <v>0.13636363636363635</v>
      </c>
      <c r="M126" s="12">
        <f>373.242/H126</f>
        <v>4.241386363636364</v>
      </c>
      <c r="N126" s="12">
        <f>M126*E126</f>
        <v>3.8879375</v>
      </c>
      <c r="O126" s="17">
        <f>(P126*12)+Q126</f>
        <v>120</v>
      </c>
      <c r="P126" s="17">
        <v>10</v>
      </c>
      <c r="Q126" s="10">
        <v>0</v>
      </c>
      <c r="R126" s="12">
        <f>(P126/20)+(Q126/240)</f>
        <v>0.5</v>
      </c>
      <c r="U126" s="12">
        <v>44</v>
      </c>
      <c r="V126" s="12">
        <f>(1000/373.242/E126)*U126</f>
        <v>128.6028903499606</v>
      </c>
      <c r="W126" s="12">
        <f>240/O126*N126</f>
        <v>7.775875</v>
      </c>
      <c r="Y126" s="10">
        <f>(V126/$V$17)*100</f>
        <v>298.4375313221813</v>
      </c>
    </row>
    <row r="127" spans="1:25" ht="12.75">
      <c r="A127" s="1" t="s">
        <v>69</v>
      </c>
      <c r="B127" t="s">
        <v>116</v>
      </c>
      <c r="C127" s="17">
        <v>22</v>
      </c>
      <c r="D127" s="10">
        <v>0</v>
      </c>
      <c r="E127" s="16">
        <f>(C127+D127/4)/24</f>
        <v>0.9166666666666666</v>
      </c>
      <c r="G127" s="12">
        <f>H127*0.9375</f>
        <v>165</v>
      </c>
      <c r="H127" s="12">
        <f>U127/R127</f>
        <v>176</v>
      </c>
      <c r="J127" s="12">
        <f>5760/H127</f>
        <v>32.72727272727273</v>
      </c>
      <c r="K127" s="12">
        <f>J127/480</f>
        <v>0.06818181818181818</v>
      </c>
      <c r="M127" s="12">
        <f>373.242/H127</f>
        <v>2.120693181818182</v>
      </c>
      <c r="N127" s="12">
        <f>M127*E127</f>
        <v>1.94396875</v>
      </c>
      <c r="O127" s="17">
        <f>(P127*12)+Q127</f>
        <v>60</v>
      </c>
      <c r="P127" s="17">
        <v>5</v>
      </c>
      <c r="Q127" s="10">
        <v>0</v>
      </c>
      <c r="R127" s="12">
        <f>(P127/20)+(Q127/240)</f>
        <v>0.25</v>
      </c>
      <c r="U127" s="12">
        <v>44</v>
      </c>
      <c r="V127" s="12">
        <f>(1000/373.242/E127)*U127</f>
        <v>128.6028903499606</v>
      </c>
      <c r="W127" s="12">
        <f>240/O127*N127</f>
        <v>7.775875</v>
      </c>
      <c r="Y127" s="10">
        <f>(V127/$V$17)*100</f>
        <v>298.4375313221813</v>
      </c>
    </row>
    <row r="129" spans="1:25" ht="12.75">
      <c r="A129" s="1" t="s">
        <v>70</v>
      </c>
      <c r="B129" t="s">
        <v>218</v>
      </c>
      <c r="C129" s="17">
        <v>23</v>
      </c>
      <c r="D129" s="10">
        <v>3.5</v>
      </c>
      <c r="E129" s="16">
        <f>(C129+D129/4)/24</f>
        <v>0.9947916666666666</v>
      </c>
      <c r="G129" s="12">
        <f>H129*0.9375</f>
        <v>41.71875</v>
      </c>
      <c r="H129" s="12">
        <f>U129/R129</f>
        <v>44.5</v>
      </c>
      <c r="J129" s="12">
        <f>5760/H129</f>
        <v>129.43820224719101</v>
      </c>
      <c r="K129" s="12">
        <f>J129/480</f>
        <v>0.2696629213483146</v>
      </c>
      <c r="M129" s="12">
        <f>373.242/H129</f>
        <v>8.387460674157303</v>
      </c>
      <c r="N129" s="12">
        <f>M129*E129</f>
        <v>8.343775983146067</v>
      </c>
      <c r="O129" s="17">
        <f>(P129*12)+Q129</f>
        <v>240</v>
      </c>
      <c r="P129" s="17">
        <v>20</v>
      </c>
      <c r="Q129" s="10">
        <v>0</v>
      </c>
      <c r="R129" s="12">
        <f>(P129/20)+(Q129/240)</f>
        <v>1</v>
      </c>
      <c r="U129" s="12">
        <f>44+(10/20)</f>
        <v>44.5</v>
      </c>
      <c r="V129" s="12">
        <f>(1000/373.242/E129)*U129</f>
        <v>119.84981404341879</v>
      </c>
      <c r="W129" s="12">
        <f>240/O129*N129</f>
        <v>8.343775983146067</v>
      </c>
      <c r="X129" s="4">
        <f>(W129-W127)/W127</f>
        <v>0.07303370786516844</v>
      </c>
      <c r="Y129" s="10">
        <f>(V129/$V$17)*100</f>
        <v>278.1250291903051</v>
      </c>
    </row>
    <row r="130" spans="1:25" ht="12.75">
      <c r="A130" s="1" t="s">
        <v>70</v>
      </c>
      <c r="B130" t="s">
        <v>230</v>
      </c>
      <c r="C130" s="17">
        <v>23</v>
      </c>
      <c r="D130" s="10">
        <v>3.5</v>
      </c>
      <c r="E130" s="16">
        <f>(C130+D130/4)/24</f>
        <v>0.9947916666666666</v>
      </c>
      <c r="G130" s="12">
        <f>H130*0.9375</f>
        <v>83.4375</v>
      </c>
      <c r="H130" s="12">
        <f>U130/R130</f>
        <v>89</v>
      </c>
      <c r="J130" s="12">
        <f>5760/H130</f>
        <v>64.71910112359551</v>
      </c>
      <c r="K130" s="12">
        <f>J130/480</f>
        <v>0.1348314606741573</v>
      </c>
      <c r="M130" s="12">
        <f>373.242/H130</f>
        <v>4.193730337078652</v>
      </c>
      <c r="N130" s="12">
        <f>M130*E130</f>
        <v>4.171887991573033</v>
      </c>
      <c r="O130" s="17">
        <f>(P130*12)+Q130</f>
        <v>120</v>
      </c>
      <c r="P130" s="17">
        <v>10</v>
      </c>
      <c r="Q130" s="10">
        <v>0</v>
      </c>
      <c r="R130" s="12">
        <f>(P130/20)+(Q130/240)</f>
        <v>0.5</v>
      </c>
      <c r="U130" s="12">
        <f>44+(10/20)</f>
        <v>44.5</v>
      </c>
      <c r="V130" s="12">
        <f>(1000/373.242/E130)*U130</f>
        <v>119.84981404341879</v>
      </c>
      <c r="W130" s="12">
        <f>240/O130*N130</f>
        <v>8.343775983146067</v>
      </c>
      <c r="Y130" s="10">
        <f>(V130/$V$17)*100</f>
        <v>278.1250291903051</v>
      </c>
    </row>
    <row r="131" spans="1:25" ht="12.75">
      <c r="A131" s="1" t="s">
        <v>70</v>
      </c>
      <c r="B131" t="s">
        <v>104</v>
      </c>
      <c r="C131" s="17">
        <v>23</v>
      </c>
      <c r="D131" s="10">
        <v>3.5</v>
      </c>
      <c r="E131" s="16">
        <f>(C131+D131/4)/24</f>
        <v>0.9947916666666666</v>
      </c>
      <c r="G131" s="12">
        <f>H131*0.9375</f>
        <v>166.875</v>
      </c>
      <c r="H131" s="12">
        <f>U131/R131</f>
        <v>178</v>
      </c>
      <c r="J131" s="12">
        <f>5760/H131</f>
        <v>32.359550561797754</v>
      </c>
      <c r="K131" s="12">
        <f>J131/480</f>
        <v>0.06741573033707865</v>
      </c>
      <c r="M131" s="12">
        <f>373.242/H131</f>
        <v>2.096865168539326</v>
      </c>
      <c r="N131" s="12">
        <f>M131*E131</f>
        <v>2.0859439957865167</v>
      </c>
      <c r="O131" s="17">
        <f>(P131*12)+Q131</f>
        <v>60</v>
      </c>
      <c r="P131" s="17">
        <v>5</v>
      </c>
      <c r="Q131" s="10">
        <v>0</v>
      </c>
      <c r="R131" s="12">
        <f>(P131/20)+(Q131/240)</f>
        <v>0.25</v>
      </c>
      <c r="U131" s="12">
        <f>44+(10/20)</f>
        <v>44.5</v>
      </c>
      <c r="V131" s="12">
        <f>(1000/373.242/E131)*U131</f>
        <v>119.84981404341879</v>
      </c>
      <c r="W131" s="12">
        <f>240/O131*N131</f>
        <v>8.343775983146067</v>
      </c>
      <c r="Y131" s="10">
        <f>(V131/$V$17)*100</f>
        <v>278.1250291903051</v>
      </c>
    </row>
    <row r="133" spans="1:25" ht="12.75">
      <c r="A133" s="1" t="s">
        <v>70</v>
      </c>
      <c r="B133" t="s">
        <v>251</v>
      </c>
      <c r="C133" s="17">
        <v>22</v>
      </c>
      <c r="D133" s="10">
        <v>0</v>
      </c>
      <c r="E133" s="16">
        <f>(C133+D133/4)/24</f>
        <v>0.9166666666666666</v>
      </c>
      <c r="G133" s="12">
        <f>H133*0.9375</f>
        <v>38.4375</v>
      </c>
      <c r="H133" s="12">
        <f>U133/R133</f>
        <v>41</v>
      </c>
      <c r="J133" s="12">
        <f>5760/H133</f>
        <v>140.4878048780488</v>
      </c>
      <c r="K133" s="12">
        <f>J133/480</f>
        <v>0.29268292682926833</v>
      </c>
      <c r="M133" s="12">
        <f>373.242/H133</f>
        <v>9.103463414634147</v>
      </c>
      <c r="N133" s="12">
        <f>M133*E133</f>
        <v>8.344841463414635</v>
      </c>
      <c r="O133" s="17">
        <f>(P133*12)+Q133</f>
        <v>240</v>
      </c>
      <c r="P133" s="17">
        <v>20</v>
      </c>
      <c r="Q133" s="10">
        <v>0</v>
      </c>
      <c r="R133" s="12">
        <f>(P133/20)+(Q133/240)</f>
        <v>1</v>
      </c>
      <c r="U133" s="12">
        <v>41</v>
      </c>
      <c r="V133" s="12">
        <f>(1000/373.242/E133)*U133</f>
        <v>119.8345114624633</v>
      </c>
      <c r="W133" s="12">
        <f>240/O133*N133</f>
        <v>8.344841463414635</v>
      </c>
      <c r="X133" s="4">
        <f>(W133-W131)/W131</f>
        <v>0.0001276976120548743</v>
      </c>
      <c r="Y133" s="10">
        <f>(V133/$V$17)*100</f>
        <v>278.08951782294173</v>
      </c>
    </row>
    <row r="134" spans="1:25" ht="12.75">
      <c r="A134" s="1" t="s">
        <v>70</v>
      </c>
      <c r="B134" t="s">
        <v>122</v>
      </c>
      <c r="C134" s="17">
        <v>22</v>
      </c>
      <c r="D134" s="10">
        <v>0</v>
      </c>
      <c r="E134" s="16">
        <f>(C134+D134/4)/24</f>
        <v>0.9166666666666666</v>
      </c>
      <c r="G134" s="12">
        <f>H134*0.9375</f>
        <v>76.875</v>
      </c>
      <c r="H134" s="12">
        <f>U134/R134</f>
        <v>82</v>
      </c>
      <c r="J134" s="12">
        <f>5760/H134</f>
        <v>70.2439024390244</v>
      </c>
      <c r="K134" s="12">
        <f>J134/480</f>
        <v>0.14634146341463417</v>
      </c>
      <c r="M134" s="12">
        <f>373.242/H134</f>
        <v>4.5517317073170735</v>
      </c>
      <c r="N134" s="12">
        <f>M134*E134</f>
        <v>4.172420731707318</v>
      </c>
      <c r="O134" s="17">
        <f>(P134*12)+Q134</f>
        <v>120</v>
      </c>
      <c r="P134" s="17">
        <v>10</v>
      </c>
      <c r="Q134" s="10">
        <v>0</v>
      </c>
      <c r="R134" s="12">
        <f>(P134/20)+(Q134/240)</f>
        <v>0.5</v>
      </c>
      <c r="U134" s="12">
        <v>41</v>
      </c>
      <c r="V134" s="12">
        <f>(1000/373.242/E134)*U134</f>
        <v>119.8345114624633</v>
      </c>
      <c r="W134" s="12">
        <f>240/O134*N134</f>
        <v>8.344841463414635</v>
      </c>
      <c r="Y134" s="10">
        <f>(V134/$V$17)*100</f>
        <v>278.08951782294173</v>
      </c>
    </row>
    <row r="135" spans="1:25" ht="12.75">
      <c r="A135" s="1" t="s">
        <v>70</v>
      </c>
      <c r="B135" t="s">
        <v>116</v>
      </c>
      <c r="C135" s="17">
        <v>22</v>
      </c>
      <c r="D135" s="10">
        <v>0</v>
      </c>
      <c r="E135" s="16">
        <f>(C135+D135/4)/24</f>
        <v>0.9166666666666666</v>
      </c>
      <c r="G135" s="12">
        <f>H135*0.9375</f>
        <v>153.75</v>
      </c>
      <c r="H135" s="12">
        <f>U135/R135</f>
        <v>164</v>
      </c>
      <c r="J135" s="12">
        <f>5760/H135</f>
        <v>35.1219512195122</v>
      </c>
      <c r="K135" s="12">
        <f>J135/480</f>
        <v>0.07317073170731708</v>
      </c>
      <c r="M135" s="12">
        <f>373.242/H135</f>
        <v>2.2758658536585368</v>
      </c>
      <c r="N135" s="12">
        <f>M135*E135</f>
        <v>2.086210365853659</v>
      </c>
      <c r="O135" s="17">
        <f>(P135*12)+Q135</f>
        <v>60</v>
      </c>
      <c r="P135" s="17">
        <v>5</v>
      </c>
      <c r="Q135" s="10">
        <v>0</v>
      </c>
      <c r="R135" s="12">
        <f>(P135/20)+(Q135/240)</f>
        <v>0.25</v>
      </c>
      <c r="U135" s="12">
        <v>41</v>
      </c>
      <c r="V135" s="12">
        <f>(1000/373.242/E135)*U135</f>
        <v>119.8345114624633</v>
      </c>
      <c r="W135" s="12">
        <f>240/O135*N135</f>
        <v>8.344841463414635</v>
      </c>
      <c r="Y135" s="10">
        <f>(V135/$V$17)*100</f>
        <v>278.08951782294173</v>
      </c>
    </row>
    <row r="137" spans="1:25" ht="12.75">
      <c r="A137" s="1" t="s">
        <v>71</v>
      </c>
      <c r="B137" t="s">
        <v>230</v>
      </c>
      <c r="C137" s="17">
        <v>23</v>
      </c>
      <c r="D137" s="10">
        <v>3.5</v>
      </c>
      <c r="E137" s="16">
        <f>(C137+D137/4)/24</f>
        <v>0.9947916666666666</v>
      </c>
      <c r="G137" s="12">
        <f>H137*0.9375</f>
        <v>55.625</v>
      </c>
      <c r="H137" s="12">
        <f>U137/R137</f>
        <v>59.333333333333336</v>
      </c>
      <c r="J137" s="12">
        <f>5760/H137</f>
        <v>97.07865168539325</v>
      </c>
      <c r="K137" s="12">
        <f>J137/480</f>
        <v>0.20224719101123595</v>
      </c>
      <c r="M137" s="12">
        <f>373.242/H137</f>
        <v>6.290595505617977</v>
      </c>
      <c r="N137" s="12">
        <f>M137*E137</f>
        <v>6.25783198735955</v>
      </c>
      <c r="O137" s="17">
        <f>(P137*12)+Q137</f>
        <v>180</v>
      </c>
      <c r="P137" s="17">
        <v>15</v>
      </c>
      <c r="Q137" s="10">
        <v>0</v>
      </c>
      <c r="R137" s="12">
        <f>(P137/20)+(Q137/240)</f>
        <v>0.75</v>
      </c>
      <c r="U137" s="12">
        <f>44+(10/20)</f>
        <v>44.5</v>
      </c>
      <c r="V137" s="12">
        <f>(1000/373.242/E137)*U137</f>
        <v>119.84981404341879</v>
      </c>
      <c r="W137" s="12">
        <f>240/O137*N137</f>
        <v>8.343775983146067</v>
      </c>
      <c r="X137" s="4">
        <f>(W137-W135)/W135</f>
        <v>-0.00012768130745680802</v>
      </c>
      <c r="Y137" s="10">
        <f>(V137/$V$17)*100</f>
        <v>278.1250291903051</v>
      </c>
    </row>
    <row r="138" spans="1:25" ht="12.75">
      <c r="A138" s="1" t="s">
        <v>71</v>
      </c>
      <c r="B138" t="s">
        <v>104</v>
      </c>
      <c r="C138" s="17">
        <v>23</v>
      </c>
      <c r="D138" s="10">
        <v>3.5</v>
      </c>
      <c r="E138" s="16">
        <f>(C138+D138/4)/24</f>
        <v>0.9947916666666666</v>
      </c>
      <c r="G138" s="12">
        <f>H138*0.9375</f>
        <v>83.4375</v>
      </c>
      <c r="H138" s="12">
        <f>U138/R138</f>
        <v>89</v>
      </c>
      <c r="J138" s="12">
        <f>5760/H138</f>
        <v>64.71910112359551</v>
      </c>
      <c r="K138" s="12">
        <f>J138/480</f>
        <v>0.1348314606741573</v>
      </c>
      <c r="M138" s="12">
        <f>373.242/H138</f>
        <v>4.193730337078652</v>
      </c>
      <c r="N138" s="12">
        <f>M138*E138</f>
        <v>4.171887991573033</v>
      </c>
      <c r="O138" s="17">
        <f>(P138*12)+Q138</f>
        <v>120</v>
      </c>
      <c r="P138" s="17">
        <v>10</v>
      </c>
      <c r="Q138" s="10">
        <v>0</v>
      </c>
      <c r="R138" s="12">
        <f>(P138/20)+(Q138/240)</f>
        <v>0.5</v>
      </c>
      <c r="U138" s="12">
        <f>44+(10/20)</f>
        <v>44.5</v>
      </c>
      <c r="V138" s="12">
        <f>(1000/373.242/E138)*U138</f>
        <v>119.84981404341879</v>
      </c>
      <c r="W138" s="12">
        <f>240/O138*N138</f>
        <v>8.343775983146067</v>
      </c>
      <c r="Y138" s="10">
        <f>(V138/$V$17)*100</f>
        <v>278.1250291903051</v>
      </c>
    </row>
    <row r="140" spans="1:25" ht="12.75">
      <c r="A140" s="1" t="s">
        <v>71</v>
      </c>
      <c r="B140" t="s">
        <v>251</v>
      </c>
      <c r="C140" s="17">
        <v>22</v>
      </c>
      <c r="D140" s="10">
        <v>0</v>
      </c>
      <c r="E140" s="16">
        <f>(C140+D140/4)/24</f>
        <v>0.9166666666666666</v>
      </c>
      <c r="G140" s="12">
        <f>H140*0.9375</f>
        <v>38.4375</v>
      </c>
      <c r="H140" s="12">
        <f>U140/R140</f>
        <v>41</v>
      </c>
      <c r="J140" s="12">
        <f>5760/H140</f>
        <v>140.4878048780488</v>
      </c>
      <c r="K140" s="12">
        <f>J140/480</f>
        <v>0.29268292682926833</v>
      </c>
      <c r="M140" s="12">
        <f>373.242/H140</f>
        <v>9.103463414634147</v>
      </c>
      <c r="N140" s="12">
        <f>M140*E140</f>
        <v>8.344841463414635</v>
      </c>
      <c r="O140" s="17">
        <f>(P140*12)+Q140</f>
        <v>240</v>
      </c>
      <c r="P140" s="17">
        <v>20</v>
      </c>
      <c r="Q140" s="10">
        <v>0</v>
      </c>
      <c r="R140" s="12">
        <f>(P140/20)+(Q140/240)</f>
        <v>1</v>
      </c>
      <c r="U140" s="12">
        <v>41</v>
      </c>
      <c r="V140" s="12">
        <f>(1000/373.242/E140)*U140</f>
        <v>119.8345114624633</v>
      </c>
      <c r="W140" s="12">
        <f>240/O140*N140</f>
        <v>8.344841463414635</v>
      </c>
      <c r="X140" s="4">
        <f>(W140-W138)/W138</f>
        <v>0.0001276976120548743</v>
      </c>
      <c r="Y140" s="10">
        <f>(V140/$V$17)*100</f>
        <v>278.08951782294173</v>
      </c>
    </row>
    <row r="141" spans="1:25" ht="12.75">
      <c r="A141" s="1" t="s">
        <v>71</v>
      </c>
      <c r="B141" t="s">
        <v>122</v>
      </c>
      <c r="C141" s="17">
        <v>22</v>
      </c>
      <c r="D141" s="10">
        <v>0</v>
      </c>
      <c r="E141" s="16">
        <f>(C141+D141/4)/24</f>
        <v>0.9166666666666666</v>
      </c>
      <c r="G141" s="12">
        <f>H141*0.9375</f>
        <v>76.875</v>
      </c>
      <c r="H141" s="12">
        <f>U141/R141</f>
        <v>82</v>
      </c>
      <c r="J141" s="12">
        <f>5760/H141</f>
        <v>70.2439024390244</v>
      </c>
      <c r="K141" s="12">
        <f>J141/480</f>
        <v>0.14634146341463417</v>
      </c>
      <c r="M141" s="12">
        <f>373.242/H141</f>
        <v>4.5517317073170735</v>
      </c>
      <c r="N141" s="12">
        <f>M141*E141</f>
        <v>4.172420731707318</v>
      </c>
      <c r="O141" s="17">
        <f>(P141*12)+Q141</f>
        <v>120</v>
      </c>
      <c r="P141" s="17">
        <v>10</v>
      </c>
      <c r="Q141" s="10">
        <v>0</v>
      </c>
      <c r="R141" s="12">
        <f>(P141/20)+(Q141/240)</f>
        <v>0.5</v>
      </c>
      <c r="U141" s="12">
        <v>41</v>
      </c>
      <c r="V141" s="12">
        <f>(1000/373.242/E141)*U141</f>
        <v>119.8345114624633</v>
      </c>
      <c r="W141" s="12">
        <f>240/O141*N141</f>
        <v>8.344841463414635</v>
      </c>
      <c r="Y141" s="10">
        <f>(V141/$V$17)*100</f>
        <v>278.08951782294173</v>
      </c>
    </row>
    <row r="142" spans="1:25" ht="12.75">
      <c r="A142" s="1" t="s">
        <v>71</v>
      </c>
      <c r="B142" t="s">
        <v>116</v>
      </c>
      <c r="C142" s="17">
        <v>22</v>
      </c>
      <c r="D142" s="10">
        <v>0</v>
      </c>
      <c r="E142" s="16">
        <f>(C142+D142/4)/24</f>
        <v>0.9166666666666666</v>
      </c>
      <c r="G142" s="12">
        <f>H142*0.9375</f>
        <v>153.75</v>
      </c>
      <c r="H142" s="12">
        <f>U142/R142</f>
        <v>164</v>
      </c>
      <c r="J142" s="12">
        <f>5760/H142</f>
        <v>35.1219512195122</v>
      </c>
      <c r="K142" s="12">
        <f>J142/480</f>
        <v>0.07317073170731708</v>
      </c>
      <c r="M142" s="12">
        <f>373.242/H142</f>
        <v>2.2758658536585368</v>
      </c>
      <c r="N142" s="12">
        <f>M142*E142</f>
        <v>2.086210365853659</v>
      </c>
      <c r="O142" s="17">
        <f>(P142*12)+Q142</f>
        <v>60</v>
      </c>
      <c r="P142" s="17">
        <v>5</v>
      </c>
      <c r="Q142" s="10">
        <v>0</v>
      </c>
      <c r="R142" s="12">
        <f>(P142/20)+(Q142/240)</f>
        <v>0.25</v>
      </c>
      <c r="U142" s="12">
        <v>41</v>
      </c>
      <c r="V142" s="12">
        <f>(1000/373.242/E142)*U142</f>
        <v>119.8345114624633</v>
      </c>
      <c r="W142" s="12">
        <f>240/O142*N142</f>
        <v>8.344841463414635</v>
      </c>
      <c r="Y142" s="10">
        <f>(V142/$V$17)*100</f>
        <v>278.08951782294173</v>
      </c>
    </row>
    <row r="144" spans="1:25" ht="12.75">
      <c r="A144" s="1" t="s">
        <v>72</v>
      </c>
      <c r="B144" t="s">
        <v>218</v>
      </c>
      <c r="C144" s="17">
        <v>23</v>
      </c>
      <c r="D144" s="10">
        <v>3.5</v>
      </c>
      <c r="E144" s="16">
        <f>(C144+D144/4)/24</f>
        <v>0.9947916666666666</v>
      </c>
      <c r="G144" s="12">
        <f>H144*0.9375</f>
        <v>41.71875</v>
      </c>
      <c r="H144" s="12">
        <f>U144/R144</f>
        <v>44.5</v>
      </c>
      <c r="J144" s="12">
        <f>5760/H144</f>
        <v>129.43820224719101</v>
      </c>
      <c r="K144" s="12">
        <f>J144/480</f>
        <v>0.2696629213483146</v>
      </c>
      <c r="M144" s="12">
        <f>373.242/H144</f>
        <v>8.387460674157303</v>
      </c>
      <c r="N144" s="12">
        <f>M144*E144</f>
        <v>8.343775983146067</v>
      </c>
      <c r="O144" s="17">
        <f>(P144*12)+Q144</f>
        <v>240</v>
      </c>
      <c r="P144" s="17">
        <v>20</v>
      </c>
      <c r="Q144" s="10">
        <v>0</v>
      </c>
      <c r="R144" s="12">
        <f>(P144/20)+(Q144/240)</f>
        <v>1</v>
      </c>
      <c r="U144" s="12">
        <f>44+(10/20)</f>
        <v>44.5</v>
      </c>
      <c r="V144" s="12">
        <f>(1000/373.242/E144)*U144</f>
        <v>119.84981404341879</v>
      </c>
      <c r="W144" s="12">
        <f>240/O144*N144</f>
        <v>8.343775983146067</v>
      </c>
      <c r="X144" s="4">
        <f>(W144-W142)/W142</f>
        <v>-0.00012768130745680802</v>
      </c>
      <c r="Y144" s="10">
        <f>(V144/$V$17)*100</f>
        <v>278.1250291903051</v>
      </c>
    </row>
    <row r="145" spans="1:25" ht="12.75">
      <c r="A145" s="1" t="s">
        <v>72</v>
      </c>
      <c r="B145" t="s">
        <v>230</v>
      </c>
      <c r="C145" s="17">
        <v>23</v>
      </c>
      <c r="D145" s="10">
        <v>3.5</v>
      </c>
      <c r="E145" s="16">
        <f>(C145+D145/4)/24</f>
        <v>0.9947916666666666</v>
      </c>
      <c r="G145" s="12">
        <f>H145*0.9375</f>
        <v>83.4375</v>
      </c>
      <c r="H145" s="12">
        <f>U145/R145</f>
        <v>89</v>
      </c>
      <c r="J145" s="12">
        <f>5760/H145</f>
        <v>64.71910112359551</v>
      </c>
      <c r="K145" s="12">
        <f>J145/480</f>
        <v>0.1348314606741573</v>
      </c>
      <c r="M145" s="12">
        <f>373.242/H145</f>
        <v>4.193730337078652</v>
      </c>
      <c r="N145" s="12">
        <f>M145*E145</f>
        <v>4.171887991573033</v>
      </c>
      <c r="O145" s="17">
        <f>(P145*12)+Q145</f>
        <v>120</v>
      </c>
      <c r="P145" s="17">
        <v>10</v>
      </c>
      <c r="Q145" s="10">
        <v>0</v>
      </c>
      <c r="R145" s="12">
        <f>(P145/20)+(Q145/240)</f>
        <v>0.5</v>
      </c>
      <c r="U145" s="12">
        <f>44+(10/20)</f>
        <v>44.5</v>
      </c>
      <c r="V145" s="12">
        <f>(1000/373.242/E145)*U145</f>
        <v>119.84981404341879</v>
      </c>
      <c r="W145" s="12">
        <f>240/O145*N145</f>
        <v>8.343775983146067</v>
      </c>
      <c r="Y145" s="10">
        <f>(V145/$V$17)*100</f>
        <v>278.1250291903051</v>
      </c>
    </row>
    <row r="146" spans="1:25" ht="12.75">
      <c r="A146" s="1" t="s">
        <v>72</v>
      </c>
      <c r="B146" t="s">
        <v>104</v>
      </c>
      <c r="C146" s="17">
        <v>23</v>
      </c>
      <c r="D146" s="10">
        <v>3.5</v>
      </c>
      <c r="E146" s="16">
        <f>(C146+D146/4)/24</f>
        <v>0.9947916666666666</v>
      </c>
      <c r="G146" s="12">
        <f>H146*0.9375</f>
        <v>166.875</v>
      </c>
      <c r="H146" s="12">
        <f>U146/R146</f>
        <v>178</v>
      </c>
      <c r="J146" s="12">
        <f>5760/H146</f>
        <v>32.359550561797754</v>
      </c>
      <c r="K146" s="12">
        <f>J146/480</f>
        <v>0.06741573033707865</v>
      </c>
      <c r="M146" s="12">
        <f>373.242/H146</f>
        <v>2.096865168539326</v>
      </c>
      <c r="N146" s="12">
        <f>M146*E146</f>
        <v>2.0859439957865167</v>
      </c>
      <c r="O146" s="17">
        <f>(P146*12)+Q146</f>
        <v>60</v>
      </c>
      <c r="P146" s="17">
        <v>5</v>
      </c>
      <c r="Q146" s="10">
        <v>0</v>
      </c>
      <c r="R146" s="12">
        <f>(P146/20)+(Q146/240)</f>
        <v>0.25</v>
      </c>
      <c r="U146" s="12">
        <f>44+(10/20)</f>
        <v>44.5</v>
      </c>
      <c r="V146" s="12">
        <f>(1000/373.242/E146)*U146</f>
        <v>119.84981404341879</v>
      </c>
      <c r="W146" s="12">
        <f>240/O146*N146</f>
        <v>8.343775983146067</v>
      </c>
      <c r="Y146" s="10">
        <f>(V146/$V$17)*100</f>
        <v>278.1250291903051</v>
      </c>
    </row>
    <row r="148" spans="1:25" ht="12.75">
      <c r="A148" s="1" t="s">
        <v>72</v>
      </c>
      <c r="B148" t="s">
        <v>251</v>
      </c>
      <c r="C148" s="17">
        <v>22</v>
      </c>
      <c r="D148" s="10">
        <v>0</v>
      </c>
      <c r="E148" s="16">
        <f>(C148+D148/4)/24</f>
        <v>0.9166666666666666</v>
      </c>
      <c r="G148" s="12">
        <f>H148*0.9375</f>
        <v>38.4375</v>
      </c>
      <c r="H148" s="12">
        <f>U148/R148</f>
        <v>41</v>
      </c>
      <c r="J148" s="12">
        <f>5760/H148</f>
        <v>140.4878048780488</v>
      </c>
      <c r="K148" s="12">
        <f>J148/480</f>
        <v>0.29268292682926833</v>
      </c>
      <c r="M148" s="12">
        <f>373.242/H148</f>
        <v>9.103463414634147</v>
      </c>
      <c r="N148" s="12">
        <f>M148*E148</f>
        <v>8.344841463414635</v>
      </c>
      <c r="O148" s="17">
        <f>(P148*12)+Q148</f>
        <v>240</v>
      </c>
      <c r="P148" s="17">
        <v>20</v>
      </c>
      <c r="Q148" s="10">
        <v>0</v>
      </c>
      <c r="R148" s="12">
        <f>(P148/20)+(Q148/240)</f>
        <v>1</v>
      </c>
      <c r="U148" s="12">
        <v>41</v>
      </c>
      <c r="V148" s="12">
        <f>(1000/373.242/E148)*U148</f>
        <v>119.8345114624633</v>
      </c>
      <c r="W148" s="12">
        <f>240/O148*N148</f>
        <v>8.344841463414635</v>
      </c>
      <c r="X148" s="4">
        <f>(W148-W146)/W146</f>
        <v>0.0001276976120548743</v>
      </c>
      <c r="Y148" s="10">
        <f>(V148/$V$17)*100</f>
        <v>278.08951782294173</v>
      </c>
    </row>
    <row r="149" spans="1:25" ht="12.75">
      <c r="A149" s="1" t="s">
        <v>72</v>
      </c>
      <c r="B149" t="s">
        <v>122</v>
      </c>
      <c r="C149" s="17">
        <v>22</v>
      </c>
      <c r="D149" s="10">
        <v>0</v>
      </c>
      <c r="E149" s="16">
        <f>(C149+D149/4)/24</f>
        <v>0.9166666666666666</v>
      </c>
      <c r="G149" s="12">
        <f>H149*0.9375</f>
        <v>76.875</v>
      </c>
      <c r="H149" s="12">
        <f>U149/R149</f>
        <v>82</v>
      </c>
      <c r="J149" s="12">
        <f>5760/H149</f>
        <v>70.2439024390244</v>
      </c>
      <c r="K149" s="12">
        <f>J149/480</f>
        <v>0.14634146341463417</v>
      </c>
      <c r="M149" s="12">
        <f>373.242/H149</f>
        <v>4.5517317073170735</v>
      </c>
      <c r="N149" s="12">
        <f>M149*E149</f>
        <v>4.172420731707318</v>
      </c>
      <c r="O149" s="17">
        <f>(P149*12)+Q149</f>
        <v>120</v>
      </c>
      <c r="P149" s="17">
        <v>10</v>
      </c>
      <c r="Q149" s="10">
        <v>0</v>
      </c>
      <c r="R149" s="12">
        <f>(P149/20)+(Q149/240)</f>
        <v>0.5</v>
      </c>
      <c r="U149" s="12">
        <v>41</v>
      </c>
      <c r="V149" s="12">
        <f>(1000/373.242/E149)*U149</f>
        <v>119.8345114624633</v>
      </c>
      <c r="W149" s="12">
        <f>240/O149*N149</f>
        <v>8.344841463414635</v>
      </c>
      <c r="Y149" s="10">
        <f>(V149/$V$17)*100</f>
        <v>278.08951782294173</v>
      </c>
    </row>
    <row r="150" spans="1:25" ht="12.75">
      <c r="A150" s="1" t="s">
        <v>72</v>
      </c>
      <c r="B150" t="s">
        <v>116</v>
      </c>
      <c r="C150" s="17">
        <v>22</v>
      </c>
      <c r="D150" s="10">
        <v>0</v>
      </c>
      <c r="E150" s="16">
        <f>(C150+D150/4)/24</f>
        <v>0.9166666666666666</v>
      </c>
      <c r="G150" s="12">
        <f>H150*0.9375</f>
        <v>153.75</v>
      </c>
      <c r="H150" s="12">
        <f>U150/R150</f>
        <v>164</v>
      </c>
      <c r="J150" s="12">
        <f>5760/H150</f>
        <v>35.1219512195122</v>
      </c>
      <c r="K150" s="12">
        <f>J150/480</f>
        <v>0.07317073170731708</v>
      </c>
      <c r="M150" s="12">
        <f>373.242/H150</f>
        <v>2.2758658536585368</v>
      </c>
      <c r="N150" s="12">
        <f>M150*E150</f>
        <v>2.086210365853659</v>
      </c>
      <c r="O150" s="17">
        <f>(P150*12)+Q150</f>
        <v>60</v>
      </c>
      <c r="P150" s="17">
        <v>5</v>
      </c>
      <c r="Q150" s="10">
        <v>0</v>
      </c>
      <c r="R150" s="12">
        <f>(P150/20)+(Q150/240)</f>
        <v>0.25</v>
      </c>
      <c r="U150" s="12">
        <v>41</v>
      </c>
      <c r="V150" s="12">
        <f>(1000/373.242/E150)*U150</f>
        <v>119.8345114624633</v>
      </c>
      <c r="W150" s="12">
        <f>240/O150*N150</f>
        <v>8.344841463414635</v>
      </c>
      <c r="Y150" s="10">
        <f>(V150/$V$17)*100</f>
        <v>278.08951782294173</v>
      </c>
    </row>
    <row r="152" spans="1:25" ht="12.75">
      <c r="A152" s="1" t="s">
        <v>73</v>
      </c>
      <c r="B152" t="s">
        <v>251</v>
      </c>
      <c r="C152" s="17">
        <v>22</v>
      </c>
      <c r="D152" s="10">
        <v>0</v>
      </c>
      <c r="E152" s="16">
        <f>(C152+D152/4)/24</f>
        <v>0.9166666666666666</v>
      </c>
      <c r="G152" s="12">
        <f>H152*0.9375</f>
        <v>41.71875</v>
      </c>
      <c r="H152" s="12">
        <f>U152/R152</f>
        <v>44.5</v>
      </c>
      <c r="J152" s="12">
        <f>5760/H152</f>
        <v>129.43820224719101</v>
      </c>
      <c r="K152" s="12">
        <f>J152/480</f>
        <v>0.2696629213483146</v>
      </c>
      <c r="M152" s="12">
        <f>373.242/H152</f>
        <v>8.387460674157303</v>
      </c>
      <c r="N152" s="12">
        <f>M152*E152</f>
        <v>7.688505617977528</v>
      </c>
      <c r="O152" s="17">
        <f>(P152*12)+Q152</f>
        <v>240</v>
      </c>
      <c r="P152" s="17">
        <v>20</v>
      </c>
      <c r="Q152" s="10">
        <v>0</v>
      </c>
      <c r="R152" s="12">
        <f>(P152/20)+(Q152/240)</f>
        <v>1</v>
      </c>
      <c r="U152" s="12">
        <f>44+(10/20)</f>
        <v>44.5</v>
      </c>
      <c r="V152" s="12">
        <f>(1000/373.242/E152)*U152</f>
        <v>130.06428683121015</v>
      </c>
      <c r="W152" s="12">
        <f>240/O152*N152</f>
        <v>7.688505617977528</v>
      </c>
      <c r="X152" s="4">
        <f>(W152-W150)/W150</f>
        <v>-0.07865168539325856</v>
      </c>
      <c r="Y152" s="10">
        <f>(V152/$V$17)*100</f>
        <v>301.8288669053879</v>
      </c>
    </row>
    <row r="153" spans="1:25" ht="12.75">
      <c r="A153" s="1" t="s">
        <v>73</v>
      </c>
      <c r="B153" t="s">
        <v>122</v>
      </c>
      <c r="C153" s="17">
        <v>22</v>
      </c>
      <c r="D153" s="10">
        <v>0</v>
      </c>
      <c r="E153" s="16">
        <f>(C153+D153/4)/24</f>
        <v>0.9166666666666666</v>
      </c>
      <c r="G153" s="12">
        <f>H153*0.9375</f>
        <v>83.4375</v>
      </c>
      <c r="H153" s="12">
        <f>U153/R153</f>
        <v>89</v>
      </c>
      <c r="J153" s="12">
        <f>5760/H153</f>
        <v>64.71910112359551</v>
      </c>
      <c r="K153" s="12">
        <f>J153/480</f>
        <v>0.1348314606741573</v>
      </c>
      <c r="M153" s="12">
        <f>373.242/H153</f>
        <v>4.193730337078652</v>
      </c>
      <c r="N153" s="12">
        <f>M153*E153</f>
        <v>3.844252808988764</v>
      </c>
      <c r="O153" s="17">
        <f>(P153*12)+Q153</f>
        <v>120</v>
      </c>
      <c r="P153" s="17">
        <v>10</v>
      </c>
      <c r="Q153" s="10">
        <v>0</v>
      </c>
      <c r="R153" s="12">
        <f>(P153/20)+(Q153/240)</f>
        <v>0.5</v>
      </c>
      <c r="U153" s="12">
        <f>44+(10/20)</f>
        <v>44.5</v>
      </c>
      <c r="V153" s="12">
        <f>(1000/373.242/E153)*U153</f>
        <v>130.06428683121015</v>
      </c>
      <c r="W153" s="12">
        <f>240/O153*N153</f>
        <v>7.688505617977528</v>
      </c>
      <c r="Y153" s="10">
        <f>(V153/$V$17)*100</f>
        <v>301.8288669053879</v>
      </c>
    </row>
    <row r="155" spans="1:25" ht="12.75">
      <c r="A155" s="1" t="s">
        <v>74</v>
      </c>
      <c r="B155" t="s">
        <v>251</v>
      </c>
      <c r="C155" s="17">
        <v>22</v>
      </c>
      <c r="D155" s="10">
        <v>0</v>
      </c>
      <c r="E155" s="16">
        <f>(C155+D155/4)/24</f>
        <v>0.9166666666666666</v>
      </c>
      <c r="G155" s="12">
        <f>H155*0.9375</f>
        <v>41.71875</v>
      </c>
      <c r="H155" s="12">
        <f>U155/R155</f>
        <v>44.5</v>
      </c>
      <c r="J155" s="12">
        <f>5760/H155</f>
        <v>129.43820224719101</v>
      </c>
      <c r="K155" s="12">
        <f>J155/480</f>
        <v>0.2696629213483146</v>
      </c>
      <c r="M155" s="12">
        <f>373.242/H155</f>
        <v>8.387460674157303</v>
      </c>
      <c r="N155" s="12">
        <f>M155*E155</f>
        <v>7.688505617977528</v>
      </c>
      <c r="O155" s="17">
        <f>(P155*12)+Q155</f>
        <v>240</v>
      </c>
      <c r="P155" s="17">
        <v>20</v>
      </c>
      <c r="Q155" s="10">
        <v>0</v>
      </c>
      <c r="R155" s="12">
        <f>(P155/20)+(Q155/240)</f>
        <v>1</v>
      </c>
      <c r="U155" s="12">
        <f>44+(10/20)</f>
        <v>44.5</v>
      </c>
      <c r="V155" s="12">
        <f>(1000/373.242/E155)*U155</f>
        <v>130.06428683121015</v>
      </c>
      <c r="W155" s="12">
        <f>240/O155*N155</f>
        <v>7.688505617977528</v>
      </c>
      <c r="X155" s="4">
        <f>(W155-W153)/W153</f>
        <v>0</v>
      </c>
      <c r="Y155" s="10">
        <f>(V155/$V$17)*100</f>
        <v>301.8288669053879</v>
      </c>
    </row>
    <row r="156" spans="1:25" ht="12.75">
      <c r="A156" s="1" t="s">
        <v>74</v>
      </c>
      <c r="B156" t="s">
        <v>122</v>
      </c>
      <c r="C156" s="17">
        <v>22</v>
      </c>
      <c r="D156" s="10">
        <v>0</v>
      </c>
      <c r="E156" s="16">
        <f>(C156+D156/4)/24</f>
        <v>0.9166666666666666</v>
      </c>
      <c r="G156" s="12">
        <f>H156*0.9375</f>
        <v>83.4375</v>
      </c>
      <c r="H156" s="12">
        <f>U156/R156</f>
        <v>89</v>
      </c>
      <c r="J156" s="12">
        <f>5760/H156</f>
        <v>64.71910112359551</v>
      </c>
      <c r="K156" s="12">
        <f>J156/480</f>
        <v>0.1348314606741573</v>
      </c>
      <c r="M156" s="12">
        <f>373.242/H156</f>
        <v>4.193730337078652</v>
      </c>
      <c r="N156" s="12">
        <f>M156*E156</f>
        <v>3.844252808988764</v>
      </c>
      <c r="O156" s="17">
        <f>(P156*12)+Q156</f>
        <v>120</v>
      </c>
      <c r="P156" s="17">
        <v>10</v>
      </c>
      <c r="Q156" s="10">
        <v>0</v>
      </c>
      <c r="R156" s="12">
        <f>(P156/20)+(Q156/240)</f>
        <v>0.5</v>
      </c>
      <c r="U156" s="12">
        <f>44+(10/20)</f>
        <v>44.5</v>
      </c>
      <c r="V156" s="12">
        <f>(1000/373.242/E156)*U156</f>
        <v>130.06428683121015</v>
      </c>
      <c r="W156" s="12">
        <f>240/O156*N156</f>
        <v>7.688505617977528</v>
      </c>
      <c r="Y156" s="10">
        <f>(V156/$V$17)*100</f>
        <v>301.8288669053879</v>
      </c>
    </row>
    <row r="158" spans="1:25" ht="12.75">
      <c r="A158" s="1" t="s">
        <v>75</v>
      </c>
      <c r="B158" t="s">
        <v>154</v>
      </c>
      <c r="C158" s="17">
        <v>22</v>
      </c>
      <c r="D158" s="10">
        <v>0</v>
      </c>
      <c r="E158" s="16">
        <f>(C158+D158/4)/24</f>
        <v>0.9166666666666666</v>
      </c>
      <c r="G158" s="12">
        <f>H158*0.9375</f>
        <v>41.71875</v>
      </c>
      <c r="H158" s="12">
        <f>U158/R158</f>
        <v>44.5</v>
      </c>
      <c r="J158" s="12">
        <f>5760/H158</f>
        <v>129.43820224719101</v>
      </c>
      <c r="K158" s="12">
        <f>J158/480</f>
        <v>0.2696629213483146</v>
      </c>
      <c r="M158" s="12">
        <f>373.242/H158</f>
        <v>8.387460674157303</v>
      </c>
      <c r="N158" s="12">
        <f>M158*E158</f>
        <v>7.688505617977528</v>
      </c>
      <c r="O158" s="17">
        <f>(P158*12)+Q158</f>
        <v>252</v>
      </c>
      <c r="P158" s="17">
        <v>21</v>
      </c>
      <c r="Q158" s="10">
        <v>0</v>
      </c>
      <c r="R158" s="12">
        <f>(P158/20)+(Q158/240)</f>
        <v>1.05</v>
      </c>
      <c r="U158" s="12">
        <f>46+(14/20)+(6/240)</f>
        <v>46.725</v>
      </c>
      <c r="V158" s="12">
        <f>(1000/373.242/E158)*U158</f>
        <v>136.56750117277068</v>
      </c>
      <c r="W158" s="12">
        <f>240/O158*N158</f>
        <v>7.32238630283574</v>
      </c>
      <c r="X158" s="4">
        <f>(W158-W156)/W156</f>
        <v>-0.04761904761904769</v>
      </c>
      <c r="Y158" s="10">
        <f>(V158/$V$17)*100</f>
        <v>316.92031025065734</v>
      </c>
    </row>
    <row r="159" spans="1:25" ht="12.75">
      <c r="A159" s="1" t="s">
        <v>75</v>
      </c>
      <c r="B159" t="s">
        <v>155</v>
      </c>
      <c r="C159" s="17">
        <v>22</v>
      </c>
      <c r="D159" s="10">
        <v>0</v>
      </c>
      <c r="E159" s="16">
        <f>(C159+D159/4)/24</f>
        <v>0.9166666666666666</v>
      </c>
      <c r="G159" s="12">
        <f>H159*0.9375</f>
        <v>83.4375</v>
      </c>
      <c r="H159" s="12">
        <f>U159/R159</f>
        <v>89</v>
      </c>
      <c r="J159" s="12">
        <f>5760/H159</f>
        <v>64.71910112359551</v>
      </c>
      <c r="K159" s="12">
        <f>J159/480</f>
        <v>0.1348314606741573</v>
      </c>
      <c r="M159" s="12">
        <f>373.242/H159</f>
        <v>4.193730337078652</v>
      </c>
      <c r="N159" s="12">
        <f>M159*E159</f>
        <v>3.844252808988764</v>
      </c>
      <c r="O159" s="17">
        <f>(P159*12)+Q159</f>
        <v>126</v>
      </c>
      <c r="P159" s="17">
        <v>10</v>
      </c>
      <c r="Q159" s="10">
        <v>6</v>
      </c>
      <c r="R159" s="12">
        <f>(P159/20)+(Q159/240)</f>
        <v>0.525</v>
      </c>
      <c r="U159" s="12">
        <f>46+(14/20)+(6/240)</f>
        <v>46.725</v>
      </c>
      <c r="V159" s="12">
        <f>(1000/373.242/E159)*U159</f>
        <v>136.56750117277068</v>
      </c>
      <c r="W159" s="12">
        <f>240/O159*N159</f>
        <v>7.32238630283574</v>
      </c>
      <c r="Y159" s="10">
        <f>(V159/$V$17)*100</f>
        <v>316.92031025065734</v>
      </c>
    </row>
    <row r="160" spans="1:25" ht="12.75">
      <c r="A160" s="1" t="s">
        <v>75</v>
      </c>
      <c r="B160" t="s">
        <v>211</v>
      </c>
      <c r="C160" s="17">
        <v>22</v>
      </c>
      <c r="D160" s="10">
        <v>0</v>
      </c>
      <c r="E160" s="16">
        <f>(C160+D160/4)/24</f>
        <v>0.9166666666666666</v>
      </c>
      <c r="G160" s="12">
        <f>H160*0.9375</f>
        <v>166.875</v>
      </c>
      <c r="H160" s="12">
        <f>U160/R160</f>
        <v>178</v>
      </c>
      <c r="J160" s="12">
        <f>5760/H160</f>
        <v>32.359550561797754</v>
      </c>
      <c r="K160" s="12">
        <f>J160/480</f>
        <v>0.06741573033707865</v>
      </c>
      <c r="M160" s="12">
        <f>373.242/H160</f>
        <v>2.096865168539326</v>
      </c>
      <c r="N160" s="12">
        <f>M160*E160</f>
        <v>1.922126404494382</v>
      </c>
      <c r="O160" s="17">
        <f>(P160*12)+Q160</f>
        <v>63</v>
      </c>
      <c r="P160" s="17">
        <v>5</v>
      </c>
      <c r="Q160" s="10">
        <v>3</v>
      </c>
      <c r="R160" s="12">
        <f>(P160/20)+(Q160/240)</f>
        <v>0.2625</v>
      </c>
      <c r="U160" s="12">
        <f>46+(14/20)+(6/240)</f>
        <v>46.725</v>
      </c>
      <c r="V160" s="12">
        <f>(1000/373.242/E160)*U160</f>
        <v>136.56750117277068</v>
      </c>
      <c r="W160" s="12">
        <f>240/O160*N160</f>
        <v>7.32238630283574</v>
      </c>
      <c r="Y160" s="10">
        <f>(V160/$V$17)*100</f>
        <v>316.92031025065734</v>
      </c>
    </row>
    <row r="162" spans="1:25" ht="12.75">
      <c r="A162" s="1" t="s">
        <v>76</v>
      </c>
      <c r="B162" t="s">
        <v>154</v>
      </c>
      <c r="C162" s="17">
        <v>22</v>
      </c>
      <c r="D162" s="10">
        <v>0</v>
      </c>
      <c r="E162" s="16">
        <f>(C162+D162/4)/24</f>
        <v>0.9166666666666666</v>
      </c>
      <c r="G162" s="12">
        <f>H162*0.9375</f>
        <v>41.71875</v>
      </c>
      <c r="H162" s="12">
        <f>U162/R162</f>
        <v>44.5</v>
      </c>
      <c r="J162" s="12">
        <f>5760/H162</f>
        <v>129.43820224719101</v>
      </c>
      <c r="K162" s="12">
        <f>J162/480</f>
        <v>0.2696629213483146</v>
      </c>
      <c r="M162" s="12">
        <f>373.242/H162</f>
        <v>8.387460674157303</v>
      </c>
      <c r="N162" s="12">
        <f>M162*E162</f>
        <v>7.688505617977528</v>
      </c>
      <c r="O162" s="17">
        <f>(P162*12)+Q162</f>
        <v>252</v>
      </c>
      <c r="P162" s="17">
        <v>21</v>
      </c>
      <c r="Q162" s="10">
        <v>0</v>
      </c>
      <c r="R162" s="12">
        <f>(P162/20)+(Q162/240)</f>
        <v>1.05</v>
      </c>
      <c r="U162" s="12">
        <f>46+(14/20)+(6/240)</f>
        <v>46.725</v>
      </c>
      <c r="V162" s="12">
        <f>(1000/373.242/E162)*U162</f>
        <v>136.56750117277068</v>
      </c>
      <c r="W162" s="12">
        <f>240/O162*N162</f>
        <v>7.32238630283574</v>
      </c>
      <c r="X162" s="4">
        <f>(W162-W160)/W160</f>
        <v>0</v>
      </c>
      <c r="Y162" s="10">
        <f>(V162/$V$17)*100</f>
        <v>316.92031025065734</v>
      </c>
    </row>
    <row r="163" spans="1:25" ht="12.75">
      <c r="A163" s="1" t="s">
        <v>76</v>
      </c>
      <c r="B163" t="s">
        <v>155</v>
      </c>
      <c r="C163" s="17">
        <v>22</v>
      </c>
      <c r="D163" s="10">
        <v>0</v>
      </c>
      <c r="E163" s="16">
        <f>(C163+D163/4)/24</f>
        <v>0.9166666666666666</v>
      </c>
      <c r="G163" s="12">
        <f>H163*0.9375</f>
        <v>83.4375</v>
      </c>
      <c r="H163" s="12">
        <f>U163/R163</f>
        <v>89</v>
      </c>
      <c r="J163" s="12">
        <f>5760/H163</f>
        <v>64.71910112359551</v>
      </c>
      <c r="K163" s="12">
        <f>J163/480</f>
        <v>0.1348314606741573</v>
      </c>
      <c r="M163" s="12">
        <f>373.242/H163</f>
        <v>4.193730337078652</v>
      </c>
      <c r="N163" s="12">
        <f>M163*E163</f>
        <v>3.844252808988764</v>
      </c>
      <c r="O163" s="17">
        <f>(P163*12)+Q163</f>
        <v>126</v>
      </c>
      <c r="P163" s="17">
        <v>10</v>
      </c>
      <c r="Q163" s="10">
        <v>6</v>
      </c>
      <c r="R163" s="12">
        <f>(P163/20)+(Q163/240)</f>
        <v>0.525</v>
      </c>
      <c r="U163" s="12">
        <f>46+(14/20)+(6/240)</f>
        <v>46.725</v>
      </c>
      <c r="V163" s="12">
        <f>(1000/373.242/E163)*U163</f>
        <v>136.56750117277068</v>
      </c>
      <c r="W163" s="12">
        <f>240/O163*N163</f>
        <v>7.32238630283574</v>
      </c>
      <c r="Y163" s="10">
        <f>(V163/$V$17)*100</f>
        <v>316.92031025065734</v>
      </c>
    </row>
    <row r="164" spans="1:25" ht="12.75">
      <c r="A164" s="1" t="s">
        <v>76</v>
      </c>
      <c r="B164" t="s">
        <v>211</v>
      </c>
      <c r="C164" s="17">
        <v>22</v>
      </c>
      <c r="D164" s="10">
        <v>0</v>
      </c>
      <c r="E164" s="16">
        <f>(C164+D164/4)/24</f>
        <v>0.9166666666666666</v>
      </c>
      <c r="G164" s="12">
        <f>H164*0.9375</f>
        <v>166.875</v>
      </c>
      <c r="H164" s="12">
        <f>U164/R164</f>
        <v>178</v>
      </c>
      <c r="J164" s="12">
        <f>5760/H164</f>
        <v>32.359550561797754</v>
      </c>
      <c r="K164" s="12">
        <f>J164/480</f>
        <v>0.06741573033707865</v>
      </c>
      <c r="M164" s="12">
        <f>373.242/H164</f>
        <v>2.096865168539326</v>
      </c>
      <c r="N164" s="12">
        <f>M164*E164</f>
        <v>1.922126404494382</v>
      </c>
      <c r="O164" s="17">
        <f>(P164*12)+Q164</f>
        <v>63</v>
      </c>
      <c r="P164" s="17">
        <v>5</v>
      </c>
      <c r="Q164" s="10">
        <v>3</v>
      </c>
      <c r="R164" s="12">
        <f>(P164/20)+(Q164/240)</f>
        <v>0.2625</v>
      </c>
      <c r="U164" s="12">
        <f>46+(14/20)+(6/240)</f>
        <v>46.725</v>
      </c>
      <c r="V164" s="12">
        <f>(1000/373.242/E164)*U164</f>
        <v>136.56750117277068</v>
      </c>
      <c r="W164" s="12">
        <f>240/O164*N164</f>
        <v>7.32238630283574</v>
      </c>
      <c r="Y164" s="10">
        <f>(V164/$V$17)*100</f>
        <v>316.92031025065734</v>
      </c>
    </row>
    <row r="166" spans="1:25" ht="12.75">
      <c r="A166" s="1" t="s">
        <v>77</v>
      </c>
      <c r="B166" t="s">
        <v>154</v>
      </c>
      <c r="C166" s="17">
        <v>22</v>
      </c>
      <c r="D166" s="10">
        <v>0</v>
      </c>
      <c r="E166" s="16">
        <f>(C166+D166/4)/24</f>
        <v>0.9166666666666666</v>
      </c>
      <c r="G166" s="12">
        <f>H166*0.9375</f>
        <v>41.71875</v>
      </c>
      <c r="H166" s="12">
        <f>U166/R166</f>
        <v>44.5</v>
      </c>
      <c r="J166" s="12">
        <f>5760/H166</f>
        <v>129.43820224719101</v>
      </c>
      <c r="K166" s="12">
        <f>J166/480</f>
        <v>0.2696629213483146</v>
      </c>
      <c r="M166" s="12">
        <f>373.242/H166</f>
        <v>8.387460674157303</v>
      </c>
      <c r="N166" s="12">
        <f>M166*E166</f>
        <v>7.688505617977528</v>
      </c>
      <c r="O166" s="17">
        <f>(P166*12)+Q166</f>
        <v>252</v>
      </c>
      <c r="P166" s="17">
        <v>21</v>
      </c>
      <c r="Q166" s="10">
        <v>0</v>
      </c>
      <c r="R166" s="12">
        <f>(P166/20)+(Q166/240)</f>
        <v>1.05</v>
      </c>
      <c r="U166" s="12">
        <f>46+(14/20)+(6/240)</f>
        <v>46.725</v>
      </c>
      <c r="V166" s="12">
        <f>(1000/373.242/E166)*U166</f>
        <v>136.56750117277068</v>
      </c>
      <c r="W166" s="12">
        <f>240/O166*N166</f>
        <v>7.32238630283574</v>
      </c>
      <c r="X166" s="4">
        <f>(W166-W164)/W164</f>
        <v>0</v>
      </c>
      <c r="Y166" s="10">
        <f>(V166/$V$17)*100</f>
        <v>316.92031025065734</v>
      </c>
    </row>
    <row r="167" spans="1:25" ht="12.75">
      <c r="A167" s="1" t="s">
        <v>77</v>
      </c>
      <c r="B167" t="s">
        <v>155</v>
      </c>
      <c r="C167" s="17">
        <v>22</v>
      </c>
      <c r="D167" s="10">
        <v>0</v>
      </c>
      <c r="E167" s="16">
        <f>(C167+D167/4)/24</f>
        <v>0.9166666666666666</v>
      </c>
      <c r="G167" s="12">
        <f>H167*0.9375</f>
        <v>83.4375</v>
      </c>
      <c r="H167" s="12">
        <f>U167/R167</f>
        <v>89</v>
      </c>
      <c r="J167" s="12">
        <f>5760/H167</f>
        <v>64.71910112359551</v>
      </c>
      <c r="K167" s="12">
        <f>J167/480</f>
        <v>0.1348314606741573</v>
      </c>
      <c r="M167" s="12">
        <f>373.242/H167</f>
        <v>4.193730337078652</v>
      </c>
      <c r="N167" s="12">
        <f>M167*E167</f>
        <v>3.844252808988764</v>
      </c>
      <c r="O167" s="17">
        <f>(P167*12)+Q167</f>
        <v>126</v>
      </c>
      <c r="P167" s="17">
        <v>10</v>
      </c>
      <c r="Q167" s="10">
        <v>6</v>
      </c>
      <c r="R167" s="12">
        <f>(P167/20)+(Q167/240)</f>
        <v>0.525</v>
      </c>
      <c r="U167" s="12">
        <f>46+(14/20)+(6/240)</f>
        <v>46.725</v>
      </c>
      <c r="V167" s="12">
        <f>(1000/373.242/E167)*U167</f>
        <v>136.56750117277068</v>
      </c>
      <c r="W167" s="12">
        <f>240/O167*N167</f>
        <v>7.32238630283574</v>
      </c>
      <c r="Y167" s="10">
        <f>(V167/$V$17)*100</f>
        <v>316.92031025065734</v>
      </c>
    </row>
    <row r="168" spans="1:25" ht="12.75">
      <c r="A168" s="1" t="s">
        <v>77</v>
      </c>
      <c r="B168" t="s">
        <v>211</v>
      </c>
      <c r="C168" s="17">
        <v>22</v>
      </c>
      <c r="D168" s="10">
        <v>0</v>
      </c>
      <c r="E168" s="16">
        <f>(C168+D168/4)/24</f>
        <v>0.9166666666666666</v>
      </c>
      <c r="G168" s="12">
        <f>H168*0.9375</f>
        <v>166.875</v>
      </c>
      <c r="H168" s="12">
        <f>U168/R168</f>
        <v>178</v>
      </c>
      <c r="J168" s="12">
        <f>5760/H168</f>
        <v>32.359550561797754</v>
      </c>
      <c r="K168" s="12">
        <f>J168/480</f>
        <v>0.06741573033707865</v>
      </c>
      <c r="M168" s="12">
        <f>373.242/H168</f>
        <v>2.096865168539326</v>
      </c>
      <c r="N168" s="12">
        <f>M168*E168</f>
        <v>1.922126404494382</v>
      </c>
      <c r="O168" s="17">
        <f>(P168*12)+Q168</f>
        <v>63</v>
      </c>
      <c r="P168" s="17">
        <v>5</v>
      </c>
      <c r="Q168" s="10">
        <v>3</v>
      </c>
      <c r="R168" s="12">
        <f>(P168/20)+(Q168/240)</f>
        <v>0.2625</v>
      </c>
      <c r="U168" s="12">
        <f>46+(14/20)+(6/240)</f>
        <v>46.725</v>
      </c>
      <c r="V168" s="12">
        <f>(1000/373.242/E168)*U168</f>
        <v>136.56750117277068</v>
      </c>
      <c r="W168" s="12">
        <f>240/O168*N168</f>
        <v>7.32238630283574</v>
      </c>
      <c r="Y168" s="10">
        <f>(V168/$V$17)*100</f>
        <v>316.92031025065734</v>
      </c>
    </row>
    <row r="192" ht="12.75">
      <c r="A192" s="1" t="s">
        <v>187</v>
      </c>
    </row>
    <row r="194" spans="1:2" ht="12.75">
      <c r="A194" s="7" t="s">
        <v>17</v>
      </c>
      <c r="B194" s="12" t="s">
        <v>238</v>
      </c>
    </row>
    <row r="196" spans="1:2" ht="12.75">
      <c r="A196" s="1" t="s">
        <v>39</v>
      </c>
      <c r="B196" t="s">
        <v>158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Y21"/>
  <sheetViews>
    <sheetView zoomScalePageLayoutView="0" workbookViewId="0" topLeftCell="A1">
      <pane xSplit="1" ySplit="6" topLeftCell="A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37" sqref="AG37"/>
    </sheetView>
  </sheetViews>
  <sheetFormatPr defaultColWidth="9.140625" defaultRowHeight="12.75"/>
  <cols>
    <col min="1" max="1" width="12.28125" style="1" customWidth="1"/>
    <col min="5" max="5" width="8.421875" style="4" customWidth="1"/>
    <col min="6" max="6" width="8.421875" style="0" customWidth="1"/>
    <col min="11" max="11" width="8.421875" style="12" customWidth="1"/>
    <col min="32" max="32" width="10.8515625" style="0" customWidth="1"/>
    <col min="42" max="42" width="11.8515625" style="0" customWidth="1"/>
  </cols>
  <sheetData>
    <row r="1" ht="12.75">
      <c r="L1" s="1" t="s">
        <v>250</v>
      </c>
    </row>
    <row r="3" spans="1:51" ht="12.75">
      <c r="A3" s="1" t="s">
        <v>120</v>
      </c>
      <c r="B3" s="1" t="s">
        <v>124</v>
      </c>
      <c r="C3" s="1"/>
      <c r="D3" s="1"/>
      <c r="E3" s="5"/>
      <c r="F3" s="1" t="s">
        <v>152</v>
      </c>
      <c r="G3" s="1" t="s">
        <v>125</v>
      </c>
      <c r="H3" s="1"/>
      <c r="I3" s="1"/>
      <c r="J3" s="1"/>
      <c r="K3" s="14" t="s">
        <v>152</v>
      </c>
      <c r="L3" s="1" t="s">
        <v>127</v>
      </c>
      <c r="M3" s="1"/>
      <c r="N3" s="1"/>
      <c r="O3" s="1"/>
      <c r="P3" s="1" t="s">
        <v>152</v>
      </c>
      <c r="Q3" s="1" t="s">
        <v>105</v>
      </c>
      <c r="U3" s="1" t="s">
        <v>152</v>
      </c>
      <c r="V3" s="1" t="s">
        <v>138</v>
      </c>
      <c r="W3" s="1"/>
      <c r="X3" s="1"/>
      <c r="Y3" s="1"/>
      <c r="Z3" s="1" t="s">
        <v>152</v>
      </c>
      <c r="AA3" s="1" t="s">
        <v>116</v>
      </c>
      <c r="AE3" s="1" t="s">
        <v>152</v>
      </c>
      <c r="AF3" s="1" t="s">
        <v>229</v>
      </c>
      <c r="AJ3" s="1" t="s">
        <v>152</v>
      </c>
      <c r="AK3" s="1" t="s">
        <v>102</v>
      </c>
      <c r="AO3" s="1" t="s">
        <v>152</v>
      </c>
      <c r="AP3" s="1" t="s">
        <v>219</v>
      </c>
      <c r="AT3" s="1" t="s">
        <v>152</v>
      </c>
      <c r="AU3" s="1" t="s">
        <v>143</v>
      </c>
      <c r="AY3" s="1" t="s">
        <v>152</v>
      </c>
    </row>
    <row r="4" spans="2:51" ht="12.75">
      <c r="B4" s="1" t="s">
        <v>138</v>
      </c>
      <c r="C4" s="1"/>
      <c r="D4" s="1" t="s">
        <v>243</v>
      </c>
      <c r="E4" s="5" t="s">
        <v>1</v>
      </c>
      <c r="F4" s="1" t="s">
        <v>131</v>
      </c>
      <c r="G4" s="1" t="s">
        <v>228</v>
      </c>
      <c r="H4" s="1"/>
      <c r="I4" s="1" t="s">
        <v>243</v>
      </c>
      <c r="J4" s="5" t="s">
        <v>1</v>
      </c>
      <c r="K4" s="14" t="s">
        <v>131</v>
      </c>
      <c r="L4" s="1" t="s">
        <v>198</v>
      </c>
      <c r="M4" s="1"/>
      <c r="N4" s="1" t="s">
        <v>243</v>
      </c>
      <c r="O4" s="5" t="s">
        <v>1</v>
      </c>
      <c r="P4" s="1" t="s">
        <v>131</v>
      </c>
      <c r="S4" s="1" t="s">
        <v>243</v>
      </c>
      <c r="T4" s="5" t="s">
        <v>1</v>
      </c>
      <c r="U4" s="1" t="s">
        <v>131</v>
      </c>
      <c r="V4" s="1" t="s">
        <v>215</v>
      </c>
      <c r="W4" s="1"/>
      <c r="X4" s="1" t="s">
        <v>243</v>
      </c>
      <c r="Y4" s="5" t="s">
        <v>1</v>
      </c>
      <c r="Z4" s="1" t="s">
        <v>131</v>
      </c>
      <c r="AA4" s="1" t="s">
        <v>193</v>
      </c>
      <c r="AC4" s="1" t="s">
        <v>243</v>
      </c>
      <c r="AD4" s="5" t="s">
        <v>1</v>
      </c>
      <c r="AE4" s="1" t="s">
        <v>131</v>
      </c>
      <c r="AH4" s="1" t="s">
        <v>243</v>
      </c>
      <c r="AI4" s="5" t="s">
        <v>1</v>
      </c>
      <c r="AJ4" s="1" t="s">
        <v>131</v>
      </c>
      <c r="AK4" s="1" t="s">
        <v>183</v>
      </c>
      <c r="AM4" s="1" t="s">
        <v>243</v>
      </c>
      <c r="AN4" s="5" t="s">
        <v>1</v>
      </c>
      <c r="AO4" s="1" t="s">
        <v>131</v>
      </c>
      <c r="AP4" s="1" t="s">
        <v>217</v>
      </c>
      <c r="AR4" s="1" t="s">
        <v>243</v>
      </c>
      <c r="AS4" s="5" t="s">
        <v>1</v>
      </c>
      <c r="AT4" s="1" t="s">
        <v>131</v>
      </c>
      <c r="AU4" s="1" t="s">
        <v>183</v>
      </c>
      <c r="AW4" s="1" t="s">
        <v>243</v>
      </c>
      <c r="AX4" s="5" t="s">
        <v>1</v>
      </c>
      <c r="AY4" s="1" t="s">
        <v>131</v>
      </c>
    </row>
    <row r="5" spans="2:51" ht="12.75">
      <c r="B5" s="1" t="s">
        <v>222</v>
      </c>
      <c r="C5" s="1" t="s">
        <v>200</v>
      </c>
      <c r="D5" s="1" t="s">
        <v>200</v>
      </c>
      <c r="E5" s="5" t="s">
        <v>107</v>
      </c>
      <c r="F5" s="1" t="s">
        <v>144</v>
      </c>
      <c r="G5" s="1" t="s">
        <v>222</v>
      </c>
      <c r="H5" s="1" t="s">
        <v>200</v>
      </c>
      <c r="I5" s="1" t="s">
        <v>200</v>
      </c>
      <c r="J5" s="5" t="s">
        <v>107</v>
      </c>
      <c r="K5" s="14" t="s">
        <v>144</v>
      </c>
      <c r="L5" s="1" t="s">
        <v>222</v>
      </c>
      <c r="M5" s="1" t="s">
        <v>200</v>
      </c>
      <c r="N5" s="1" t="s">
        <v>200</v>
      </c>
      <c r="O5" s="5" t="s">
        <v>107</v>
      </c>
      <c r="P5" s="1" t="s">
        <v>144</v>
      </c>
      <c r="Q5" s="1" t="s">
        <v>222</v>
      </c>
      <c r="R5" s="1" t="s">
        <v>200</v>
      </c>
      <c r="S5" s="1" t="s">
        <v>200</v>
      </c>
      <c r="T5" s="5" t="s">
        <v>107</v>
      </c>
      <c r="U5" s="1" t="s">
        <v>144</v>
      </c>
      <c r="V5" s="1" t="s">
        <v>222</v>
      </c>
      <c r="W5" s="1" t="s">
        <v>200</v>
      </c>
      <c r="X5" s="1" t="s">
        <v>200</v>
      </c>
      <c r="Y5" s="5" t="s">
        <v>107</v>
      </c>
      <c r="Z5" s="1" t="s">
        <v>144</v>
      </c>
      <c r="AA5" s="1" t="s">
        <v>222</v>
      </c>
      <c r="AB5" s="1" t="s">
        <v>200</v>
      </c>
      <c r="AC5" s="1" t="s">
        <v>200</v>
      </c>
      <c r="AD5" s="5" t="s">
        <v>107</v>
      </c>
      <c r="AE5" s="1" t="s">
        <v>144</v>
      </c>
      <c r="AF5" s="1" t="s">
        <v>222</v>
      </c>
      <c r="AG5" s="1" t="s">
        <v>200</v>
      </c>
      <c r="AH5" s="1" t="s">
        <v>200</v>
      </c>
      <c r="AI5" s="5" t="s">
        <v>107</v>
      </c>
      <c r="AJ5" s="1" t="s">
        <v>144</v>
      </c>
      <c r="AK5" s="1" t="s">
        <v>222</v>
      </c>
      <c r="AL5" s="1" t="s">
        <v>200</v>
      </c>
      <c r="AM5" s="1" t="s">
        <v>200</v>
      </c>
      <c r="AN5" s="5" t="s">
        <v>107</v>
      </c>
      <c r="AO5" s="1" t="s">
        <v>144</v>
      </c>
      <c r="AP5" s="1" t="s">
        <v>222</v>
      </c>
      <c r="AQ5" s="1" t="s">
        <v>200</v>
      </c>
      <c r="AR5" s="1" t="s">
        <v>200</v>
      </c>
      <c r="AS5" s="5" t="s">
        <v>107</v>
      </c>
      <c r="AT5" s="1" t="s">
        <v>144</v>
      </c>
      <c r="AU5" s="1" t="s">
        <v>222</v>
      </c>
      <c r="AV5" s="1" t="s">
        <v>200</v>
      </c>
      <c r="AW5" s="1" t="s">
        <v>200</v>
      </c>
      <c r="AX5" s="5" t="s">
        <v>107</v>
      </c>
      <c r="AY5" s="1" t="s">
        <v>144</v>
      </c>
    </row>
    <row r="7" spans="1:44" ht="12.75">
      <c r="A7" s="1" t="s">
        <v>88</v>
      </c>
      <c r="B7">
        <v>4</v>
      </c>
      <c r="C7">
        <v>6</v>
      </c>
      <c r="D7">
        <f>B7*12+C7</f>
        <v>54</v>
      </c>
      <c r="F7">
        <v>3.559</v>
      </c>
      <c r="G7">
        <v>4</v>
      </c>
      <c r="H7">
        <v>4</v>
      </c>
      <c r="I7">
        <f>G7*12+H7</f>
        <v>52</v>
      </c>
      <c r="K7" s="12">
        <v>3.2958528688524593</v>
      </c>
      <c r="L7">
        <v>4</v>
      </c>
      <c r="M7">
        <v>0</v>
      </c>
      <c r="N7">
        <f>L7*12+M7</f>
        <v>48</v>
      </c>
      <c r="P7" s="22">
        <v>3.275411349826389</v>
      </c>
      <c r="AF7">
        <v>20</v>
      </c>
      <c r="AG7">
        <v>0</v>
      </c>
      <c r="AH7">
        <f>AF7*12+AG7</f>
        <v>240</v>
      </c>
      <c r="AK7">
        <v>6</v>
      </c>
      <c r="AL7">
        <v>8</v>
      </c>
      <c r="AM7">
        <f>AK7*12+AL7</f>
        <v>80</v>
      </c>
      <c r="AP7">
        <v>10</v>
      </c>
      <c r="AQ7">
        <v>0</v>
      </c>
      <c r="AR7">
        <f>AP7*12+AQ7</f>
        <v>120</v>
      </c>
    </row>
    <row r="9" spans="1:44" ht="12.75">
      <c r="A9" s="1" t="s">
        <v>87</v>
      </c>
      <c r="B9">
        <v>4</v>
      </c>
      <c r="C9">
        <v>6</v>
      </c>
      <c r="D9">
        <f>B9*12+C9</f>
        <v>54</v>
      </c>
      <c r="F9">
        <v>3.559</v>
      </c>
      <c r="G9">
        <v>4</v>
      </c>
      <c r="H9">
        <v>4</v>
      </c>
      <c r="I9">
        <f>G9*12+H9</f>
        <v>52</v>
      </c>
      <c r="K9" s="12">
        <v>3.2958528688524593</v>
      </c>
      <c r="L9">
        <v>4</v>
      </c>
      <c r="M9">
        <v>0</v>
      </c>
      <c r="N9">
        <f>L9*12+M9</f>
        <v>48</v>
      </c>
      <c r="P9" s="22">
        <v>3.275411349826389</v>
      </c>
      <c r="Q9">
        <v>6</v>
      </c>
      <c r="R9">
        <v>10</v>
      </c>
      <c r="S9">
        <f>Q9*12+R9</f>
        <v>82</v>
      </c>
      <c r="U9">
        <v>5.275</v>
      </c>
      <c r="V9">
        <v>3</v>
      </c>
      <c r="W9">
        <v>3</v>
      </c>
      <c r="X9">
        <f>V9*12+W9</f>
        <v>39</v>
      </c>
      <c r="Z9">
        <v>2.527</v>
      </c>
      <c r="AF9">
        <v>20</v>
      </c>
      <c r="AG9">
        <v>0</v>
      </c>
      <c r="AH9">
        <f>AF9*12+AG9</f>
        <v>240</v>
      </c>
      <c r="AK9">
        <v>6</v>
      </c>
      <c r="AL9">
        <v>8</v>
      </c>
      <c r="AM9">
        <f>AK9*12+AL9</f>
        <v>80</v>
      </c>
      <c r="AP9">
        <v>10</v>
      </c>
      <c r="AQ9">
        <v>0</v>
      </c>
      <c r="AR9">
        <f>AP9*12+AQ9</f>
        <v>120</v>
      </c>
    </row>
    <row r="11" spans="1:44" ht="12.75">
      <c r="A11" s="1" t="s">
        <v>5</v>
      </c>
      <c r="B11">
        <v>4</v>
      </c>
      <c r="C11">
        <v>6</v>
      </c>
      <c r="D11">
        <f>B11*12+C11</f>
        <v>54</v>
      </c>
      <c r="F11">
        <v>3.559</v>
      </c>
      <c r="G11">
        <v>4</v>
      </c>
      <c r="H11">
        <v>4</v>
      </c>
      <c r="I11">
        <f>G11*12+H11</f>
        <v>52</v>
      </c>
      <c r="K11" s="12">
        <v>3.2958528688524593</v>
      </c>
      <c r="L11">
        <v>4</v>
      </c>
      <c r="M11">
        <v>0</v>
      </c>
      <c r="N11">
        <f>L11*12+M11</f>
        <v>48</v>
      </c>
      <c r="P11" s="22">
        <v>3.275411349826389</v>
      </c>
      <c r="Q11">
        <v>6</v>
      </c>
      <c r="R11">
        <v>10</v>
      </c>
      <c r="S11">
        <f>Q11*12+R11</f>
        <v>82</v>
      </c>
      <c r="U11">
        <v>5.275</v>
      </c>
      <c r="V11">
        <v>3</v>
      </c>
      <c r="W11">
        <v>3</v>
      </c>
      <c r="X11">
        <f>V11*12+W11</f>
        <v>39</v>
      </c>
      <c r="Z11">
        <v>2.527</v>
      </c>
      <c r="AF11">
        <v>20</v>
      </c>
      <c r="AG11">
        <v>0</v>
      </c>
      <c r="AH11">
        <f>AF11*12+AG11</f>
        <v>240</v>
      </c>
      <c r="AK11">
        <v>6</v>
      </c>
      <c r="AL11">
        <v>8</v>
      </c>
      <c r="AM11">
        <f>AK11*12+AL11</f>
        <v>80</v>
      </c>
      <c r="AP11">
        <v>10</v>
      </c>
      <c r="AQ11">
        <v>0</v>
      </c>
      <c r="AR11">
        <f>AP11*12+AQ11</f>
        <v>120</v>
      </c>
    </row>
    <row r="13" spans="1:44" ht="12.75">
      <c r="A13" s="1" t="s">
        <v>14</v>
      </c>
      <c r="B13">
        <v>4</v>
      </c>
      <c r="C13">
        <v>6</v>
      </c>
      <c r="D13">
        <f>B13*12+C13</f>
        <v>54</v>
      </c>
      <c r="F13">
        <v>3.559</v>
      </c>
      <c r="G13">
        <v>4</v>
      </c>
      <c r="H13">
        <v>4</v>
      </c>
      <c r="I13">
        <f>G13*12+H13</f>
        <v>52</v>
      </c>
      <c r="K13" s="12">
        <v>3.2958528688524593</v>
      </c>
      <c r="L13">
        <v>4</v>
      </c>
      <c r="M13">
        <v>0</v>
      </c>
      <c r="N13">
        <f>L13*12+M13</f>
        <v>48</v>
      </c>
      <c r="P13" s="22">
        <v>3.275411349826389</v>
      </c>
      <c r="Q13">
        <v>6</v>
      </c>
      <c r="R13">
        <v>10</v>
      </c>
      <c r="S13">
        <f>Q13*12+R13</f>
        <v>82</v>
      </c>
      <c r="U13">
        <v>5.275</v>
      </c>
      <c r="V13">
        <v>3</v>
      </c>
      <c r="W13">
        <v>3</v>
      </c>
      <c r="X13">
        <f>V13*12+W13</f>
        <v>39</v>
      </c>
      <c r="Z13">
        <v>2.527</v>
      </c>
      <c r="AF13">
        <v>20</v>
      </c>
      <c r="AG13">
        <v>0</v>
      </c>
      <c r="AH13">
        <f>AF13*12+AG13</f>
        <v>240</v>
      </c>
      <c r="AK13">
        <v>6</v>
      </c>
      <c r="AL13">
        <v>8</v>
      </c>
      <c r="AM13">
        <f>AK13*12+AL13</f>
        <v>80</v>
      </c>
      <c r="AP13">
        <v>10</v>
      </c>
      <c r="AQ13">
        <v>0</v>
      </c>
      <c r="AR13">
        <f>AP13*12+AQ13</f>
        <v>120</v>
      </c>
    </row>
    <row r="15" spans="1:51" ht="12.75">
      <c r="A15" s="1" t="s">
        <v>84</v>
      </c>
      <c r="B15">
        <v>4</v>
      </c>
      <c r="C15">
        <v>8</v>
      </c>
      <c r="D15">
        <f>B15*12+C15</f>
        <v>56</v>
      </c>
      <c r="E15" s="4">
        <f>(D15-D13)/D13</f>
        <v>0.037037037037037035</v>
      </c>
      <c r="F15">
        <v>3.559</v>
      </c>
      <c r="G15">
        <v>4</v>
      </c>
      <c r="H15">
        <v>6</v>
      </c>
      <c r="I15">
        <f>G15*12+H15</f>
        <v>54</v>
      </c>
      <c r="J15" s="4">
        <f>(I15-I13)/I13</f>
        <v>0.038461538461538464</v>
      </c>
      <c r="K15" s="12">
        <v>3.2958528688524593</v>
      </c>
      <c r="P15" s="22">
        <v>3.275411349826389</v>
      </c>
      <c r="AA15">
        <v>4</v>
      </c>
      <c r="AB15">
        <v>6</v>
      </c>
      <c r="AC15">
        <f>AA15*12+AB15</f>
        <v>54</v>
      </c>
      <c r="AE15" s="12">
        <v>3.2075474351414264</v>
      </c>
      <c r="AF15">
        <v>22</v>
      </c>
      <c r="AG15">
        <v>0</v>
      </c>
      <c r="AH15">
        <f>AF15*12+AG15</f>
        <v>264</v>
      </c>
      <c r="AI15" s="4">
        <f>(AH15-AH13)/AH13</f>
        <v>0.1</v>
      </c>
      <c r="AJ15" s="12">
        <v>15.470752407407407</v>
      </c>
      <c r="AK15">
        <v>7</v>
      </c>
      <c r="AL15">
        <v>4</v>
      </c>
      <c r="AM15">
        <f>AK15*12+AL15</f>
        <v>88</v>
      </c>
      <c r="AN15" s="4">
        <f>(AM15-AM13)/AM13</f>
        <v>0.1</v>
      </c>
      <c r="AO15" s="12">
        <v>5.156918021797838</v>
      </c>
      <c r="AP15">
        <v>11</v>
      </c>
      <c r="AQ15">
        <v>0</v>
      </c>
      <c r="AR15">
        <f>AP15*12+AQ15</f>
        <v>132</v>
      </c>
      <c r="AS15" s="4">
        <f>(AR15-AR13)/AR13</f>
        <v>0.1</v>
      </c>
      <c r="AT15" s="12">
        <v>7.735377032696759</v>
      </c>
      <c r="AY15" s="12"/>
    </row>
    <row r="17" spans="1:51" ht="12.75">
      <c r="A17" s="1" t="s">
        <v>13</v>
      </c>
      <c r="J17" s="4"/>
      <c r="Q17" t="s">
        <v>188</v>
      </c>
      <c r="V17" t="s">
        <v>188</v>
      </c>
      <c r="AA17">
        <v>5</v>
      </c>
      <c r="AB17">
        <v>0</v>
      </c>
      <c r="AC17">
        <f>AA17*12+AB17</f>
        <v>60</v>
      </c>
      <c r="AD17" s="4">
        <f>(AC17-AC15)/AC15</f>
        <v>0.1111111111111111</v>
      </c>
      <c r="AE17" s="12">
        <v>3.4043631840796023</v>
      </c>
      <c r="AF17">
        <v>22</v>
      </c>
      <c r="AG17">
        <v>6</v>
      </c>
      <c r="AH17">
        <f>AF17*12+AG17</f>
        <v>270</v>
      </c>
      <c r="AI17" s="4">
        <f>(AH17-AH15)/AH15</f>
        <v>0.022727272727272728</v>
      </c>
      <c r="AJ17" s="12">
        <v>15.470752407407407</v>
      </c>
      <c r="AK17">
        <v>7</v>
      </c>
      <c r="AL17">
        <v>6</v>
      </c>
      <c r="AM17">
        <f>AK17*12+AL17</f>
        <v>90</v>
      </c>
      <c r="AN17" s="4">
        <f>(AM17-AM15)/AM15</f>
        <v>0.022727272727272728</v>
      </c>
      <c r="AO17" s="12">
        <v>5.156918021797838</v>
      </c>
      <c r="AP17">
        <v>11</v>
      </c>
      <c r="AQ17">
        <v>3</v>
      </c>
      <c r="AR17">
        <f>AP17*12+AQ17</f>
        <v>135</v>
      </c>
      <c r="AS17" s="4">
        <f>(AR17-AR15)/AR15</f>
        <v>0.022727272727272728</v>
      </c>
      <c r="AT17" s="12">
        <v>7.735377032696759</v>
      </c>
      <c r="AU17">
        <v>6</v>
      </c>
      <c r="AV17">
        <v>8</v>
      </c>
      <c r="AW17">
        <v>80</v>
      </c>
      <c r="AY17" s="12">
        <v>4.583926311728395</v>
      </c>
    </row>
    <row r="19" spans="35:45" ht="12.75">
      <c r="AI19" s="4">
        <f>(AH17-AH13)/AH13</f>
        <v>0.125</v>
      </c>
      <c r="AN19" s="4">
        <f>(AM17-AM13)/AM13</f>
        <v>0.125</v>
      </c>
      <c r="AS19" s="4">
        <f>(AR17-AR13)/AR13</f>
        <v>0.125</v>
      </c>
    </row>
    <row r="20" ht="12.75">
      <c r="A20" s="1" t="s">
        <v>4</v>
      </c>
    </row>
    <row r="21" ht="12.75">
      <c r="A21" s="1" t="s">
        <v>141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W3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"/>
    </sheetView>
  </sheetViews>
  <sheetFormatPr defaultColWidth="9.140625" defaultRowHeight="12.75"/>
  <cols>
    <col min="1" max="1" width="18.140625" style="25" customWidth="1"/>
    <col min="2" max="2" width="12.421875" style="3" customWidth="1"/>
    <col min="6" max="6" width="8.421875" style="3" customWidth="1"/>
    <col min="18" max="18" width="9.8515625" style="4" customWidth="1"/>
    <col min="23" max="23" width="11.8515625" style="12" customWidth="1"/>
  </cols>
  <sheetData>
    <row r="1" ht="12.75">
      <c r="D1" s="1" t="s">
        <v>196</v>
      </c>
    </row>
    <row r="3" spans="1:19" ht="12.75">
      <c r="A3" s="7" t="s">
        <v>177</v>
      </c>
      <c r="B3" s="2" t="s">
        <v>83</v>
      </c>
      <c r="C3" s="1"/>
      <c r="D3" s="1"/>
      <c r="E3" s="1"/>
      <c r="F3" s="2" t="s">
        <v>86</v>
      </c>
      <c r="J3" s="1" t="s">
        <v>98</v>
      </c>
      <c r="N3" s="1" t="s">
        <v>82</v>
      </c>
      <c r="S3" s="1" t="s">
        <v>93</v>
      </c>
    </row>
    <row r="4" spans="1:5" ht="12.75">
      <c r="A4" s="7" t="s">
        <v>110</v>
      </c>
      <c r="B4" s="2"/>
      <c r="C4" s="1"/>
      <c r="D4" s="1"/>
      <c r="E4" s="1"/>
    </row>
    <row r="5" spans="2:23" ht="12.75">
      <c r="B5" s="2" t="s">
        <v>152</v>
      </c>
      <c r="C5" s="1" t="s">
        <v>252</v>
      </c>
      <c r="D5" s="1"/>
      <c r="E5" s="1" t="s">
        <v>244</v>
      </c>
      <c r="F5" s="2" t="s">
        <v>152</v>
      </c>
      <c r="G5" s="1" t="s">
        <v>252</v>
      </c>
      <c r="H5" s="1"/>
      <c r="I5" s="1" t="s">
        <v>244</v>
      </c>
      <c r="J5" s="1" t="s">
        <v>152</v>
      </c>
      <c r="K5" s="1" t="s">
        <v>252</v>
      </c>
      <c r="L5" s="1"/>
      <c r="M5" s="1" t="s">
        <v>244</v>
      </c>
      <c r="N5" s="1" t="s">
        <v>152</v>
      </c>
      <c r="O5" s="1" t="s">
        <v>252</v>
      </c>
      <c r="P5" s="1"/>
      <c r="Q5" s="1" t="s">
        <v>244</v>
      </c>
      <c r="R5" s="5" t="s">
        <v>202</v>
      </c>
      <c r="S5" s="1" t="s">
        <v>152</v>
      </c>
      <c r="T5" s="1" t="s">
        <v>252</v>
      </c>
      <c r="U5" s="1"/>
      <c r="V5" s="1" t="s">
        <v>244</v>
      </c>
      <c r="W5" s="14" t="s">
        <v>202</v>
      </c>
    </row>
    <row r="6" spans="2:23" ht="12.75">
      <c r="B6" s="2" t="s">
        <v>134</v>
      </c>
      <c r="C6" s="1" t="s">
        <v>222</v>
      </c>
      <c r="D6" s="1" t="s">
        <v>200</v>
      </c>
      <c r="E6" s="1" t="s">
        <v>200</v>
      </c>
      <c r="F6" s="2" t="s">
        <v>134</v>
      </c>
      <c r="G6" s="1" t="s">
        <v>222</v>
      </c>
      <c r="H6" s="1" t="s">
        <v>200</v>
      </c>
      <c r="I6" s="1" t="s">
        <v>200</v>
      </c>
      <c r="J6" s="1" t="s">
        <v>134</v>
      </c>
      <c r="K6" s="1" t="s">
        <v>222</v>
      </c>
      <c r="L6" s="1" t="s">
        <v>200</v>
      </c>
      <c r="M6" s="1" t="s">
        <v>200</v>
      </c>
      <c r="N6" s="1" t="s">
        <v>134</v>
      </c>
      <c r="O6" s="1" t="s">
        <v>222</v>
      </c>
      <c r="P6" s="1" t="s">
        <v>200</v>
      </c>
      <c r="Q6" s="1" t="s">
        <v>200</v>
      </c>
      <c r="R6" s="5" t="s">
        <v>107</v>
      </c>
      <c r="S6" s="1" t="s">
        <v>134</v>
      </c>
      <c r="T6" s="1" t="s">
        <v>222</v>
      </c>
      <c r="U6" s="1" t="s">
        <v>200</v>
      </c>
      <c r="V6" s="1" t="s">
        <v>200</v>
      </c>
      <c r="W6" s="14" t="s">
        <v>107</v>
      </c>
    </row>
    <row r="9" ht="12.75">
      <c r="A9" s="7" t="s">
        <v>139</v>
      </c>
    </row>
    <row r="11" spans="1:19" ht="12.75">
      <c r="A11" s="7" t="s">
        <v>124</v>
      </c>
      <c r="B11" s="3">
        <v>3.559</v>
      </c>
      <c r="C11">
        <v>4</v>
      </c>
      <c r="D11">
        <v>6</v>
      </c>
      <c r="E11">
        <f>(C11*12)+D11</f>
        <v>54</v>
      </c>
      <c r="F11" s="3">
        <v>3.559</v>
      </c>
      <c r="G11">
        <v>4</v>
      </c>
      <c r="H11">
        <v>6</v>
      </c>
      <c r="I11">
        <f>(G11*12)+H11</f>
        <v>54</v>
      </c>
      <c r="J11">
        <v>3.559</v>
      </c>
      <c r="K11">
        <v>4</v>
      </c>
      <c r="L11">
        <v>6</v>
      </c>
      <c r="M11">
        <f>(K11*12)+L11</f>
        <v>54</v>
      </c>
      <c r="N11">
        <v>3.559</v>
      </c>
      <c r="O11">
        <v>4</v>
      </c>
      <c r="P11">
        <v>8</v>
      </c>
      <c r="Q11">
        <f>(O11*12)+P11</f>
        <v>56</v>
      </c>
      <c r="R11" s="4">
        <f>(Q11-M11)/M11</f>
        <v>0.037037037037037035</v>
      </c>
      <c r="S11">
        <v>3.559</v>
      </c>
    </row>
    <row r="12" ht="12.75">
      <c r="A12" s="7" t="s">
        <v>101</v>
      </c>
    </row>
    <row r="14" spans="1:19" ht="12.75">
      <c r="A14" s="7" t="s">
        <v>126</v>
      </c>
      <c r="B14" s="3">
        <v>3.296</v>
      </c>
      <c r="C14">
        <v>4</v>
      </c>
      <c r="D14">
        <v>4</v>
      </c>
      <c r="E14">
        <f>(C14*12)+D14</f>
        <v>52</v>
      </c>
      <c r="F14" s="3">
        <v>3.296</v>
      </c>
      <c r="G14">
        <v>4</v>
      </c>
      <c r="H14">
        <v>4</v>
      </c>
      <c r="I14">
        <f>(G14*12)+H14</f>
        <v>52</v>
      </c>
      <c r="J14">
        <v>3.296</v>
      </c>
      <c r="K14">
        <v>4</v>
      </c>
      <c r="L14">
        <v>4</v>
      </c>
      <c r="M14">
        <f>(K14*12)+L14</f>
        <v>52</v>
      </c>
      <c r="N14">
        <v>3.296</v>
      </c>
      <c r="O14">
        <v>4</v>
      </c>
      <c r="P14">
        <v>6</v>
      </c>
      <c r="Q14">
        <f>(O14*12)+P14</f>
        <v>54</v>
      </c>
      <c r="R14" s="4">
        <f>(Q14-M14)/M14</f>
        <v>0.038461538461538464</v>
      </c>
      <c r="S14">
        <v>3.296</v>
      </c>
    </row>
    <row r="16" spans="1:19" ht="12.75">
      <c r="A16" s="7" t="s">
        <v>2</v>
      </c>
      <c r="B16" s="3">
        <v>3.275411349826389</v>
      </c>
      <c r="C16">
        <v>4</v>
      </c>
      <c r="D16">
        <v>0</v>
      </c>
      <c r="E16">
        <f>(C16*12)+D16</f>
        <v>48</v>
      </c>
      <c r="F16" s="3">
        <v>3.275411349826389</v>
      </c>
      <c r="G16">
        <v>4</v>
      </c>
      <c r="H16">
        <v>0</v>
      </c>
      <c r="I16">
        <f>(G16*12)+H16</f>
        <v>48</v>
      </c>
      <c r="J16" s="12">
        <v>3.275411349826389</v>
      </c>
      <c r="K16">
        <v>4</v>
      </c>
      <c r="L16">
        <v>0</v>
      </c>
      <c r="M16">
        <f>(K16*12)+L16</f>
        <v>48</v>
      </c>
      <c r="N16" s="12">
        <v>3.275411349826389</v>
      </c>
      <c r="S16" s="12">
        <v>3.275411349826389</v>
      </c>
    </row>
    <row r="18" spans="1:19" ht="12.75">
      <c r="A18" s="1" t="s">
        <v>3</v>
      </c>
      <c r="B18" s="3">
        <v>5.275</v>
      </c>
      <c r="F18" s="3">
        <v>5.275</v>
      </c>
      <c r="G18">
        <v>6</v>
      </c>
      <c r="H18">
        <v>10</v>
      </c>
      <c r="I18">
        <f>(G18*12)+H18</f>
        <v>82</v>
      </c>
      <c r="J18">
        <v>5.275</v>
      </c>
      <c r="K18">
        <v>6</v>
      </c>
      <c r="L18">
        <v>10</v>
      </c>
      <c r="M18">
        <f>(K18*12)+L18</f>
        <v>82</v>
      </c>
      <c r="N18">
        <v>5.275</v>
      </c>
      <c r="S18">
        <v>5.275</v>
      </c>
    </row>
    <row r="20" spans="1:19" ht="12.75">
      <c r="A20" s="7" t="s">
        <v>106</v>
      </c>
      <c r="B20" s="3">
        <v>1.7</v>
      </c>
      <c r="F20" s="3">
        <v>1.7</v>
      </c>
      <c r="G20">
        <v>2</v>
      </c>
      <c r="H20">
        <v>1</v>
      </c>
      <c r="I20">
        <f>(G20*12)+H20</f>
        <v>25</v>
      </c>
      <c r="J20" s="3">
        <v>1.7</v>
      </c>
      <c r="K20">
        <v>2</v>
      </c>
      <c r="L20">
        <v>1</v>
      </c>
      <c r="M20">
        <f>(K20*12)+L20</f>
        <v>25</v>
      </c>
      <c r="N20" s="3">
        <v>1.7</v>
      </c>
      <c r="S20" s="3">
        <v>1.7</v>
      </c>
    </row>
    <row r="22" spans="1:19" ht="12.75">
      <c r="A22" s="7" t="s">
        <v>216</v>
      </c>
      <c r="B22" s="3">
        <v>2.527</v>
      </c>
      <c r="F22" s="3">
        <v>2.527</v>
      </c>
      <c r="G22">
        <v>3</v>
      </c>
      <c r="H22">
        <v>3</v>
      </c>
      <c r="I22">
        <f>(G22*12)+H22</f>
        <v>39</v>
      </c>
      <c r="J22">
        <v>2.527</v>
      </c>
      <c r="K22">
        <v>3</v>
      </c>
      <c r="L22">
        <v>3</v>
      </c>
      <c r="M22">
        <f>(K22*12)+L22</f>
        <v>39</v>
      </c>
      <c r="N22">
        <v>2.527</v>
      </c>
      <c r="S22">
        <v>2.527</v>
      </c>
    </row>
    <row r="24" ht="12.75">
      <c r="A24" s="7" t="s">
        <v>129</v>
      </c>
    </row>
    <row r="26" spans="1:23" ht="12.75">
      <c r="A26" s="7" t="s">
        <v>229</v>
      </c>
      <c r="B26" s="3">
        <v>15.471</v>
      </c>
      <c r="C26">
        <v>20</v>
      </c>
      <c r="D26">
        <v>0</v>
      </c>
      <c r="E26">
        <f>(C26*12)+D26</f>
        <v>240</v>
      </c>
      <c r="F26" s="3">
        <v>15.471</v>
      </c>
      <c r="G26">
        <v>20</v>
      </c>
      <c r="H26">
        <v>0</v>
      </c>
      <c r="I26">
        <f>(G26*12)+H26</f>
        <v>240</v>
      </c>
      <c r="J26">
        <v>15.471</v>
      </c>
      <c r="K26">
        <v>20</v>
      </c>
      <c r="L26">
        <v>0</v>
      </c>
      <c r="M26">
        <f>(K26*12)+L26</f>
        <v>240</v>
      </c>
      <c r="N26">
        <v>15.471</v>
      </c>
      <c r="O26">
        <v>22</v>
      </c>
      <c r="P26">
        <v>0</v>
      </c>
      <c r="Q26">
        <f>(O26*12)+P26</f>
        <v>264</v>
      </c>
      <c r="R26" s="4">
        <f>(Q26-M26)/M26</f>
        <v>0.1</v>
      </c>
      <c r="S26">
        <v>15.471</v>
      </c>
      <c r="T26">
        <v>22</v>
      </c>
      <c r="U26">
        <v>6</v>
      </c>
      <c r="V26">
        <f>(T26*12)+U26</f>
        <v>270</v>
      </c>
      <c r="W26" s="4">
        <f>(V26-Q26)/Q26</f>
        <v>0.022727272727272728</v>
      </c>
    </row>
    <row r="28" spans="1:23" ht="12.75">
      <c r="A28" s="7" t="s">
        <v>220</v>
      </c>
      <c r="B28" s="3">
        <v>7.735</v>
      </c>
      <c r="C28">
        <v>10</v>
      </c>
      <c r="D28">
        <v>0</v>
      </c>
      <c r="E28">
        <f>(C28*12)+D28</f>
        <v>120</v>
      </c>
      <c r="F28" s="3">
        <v>7.735</v>
      </c>
      <c r="G28">
        <v>10</v>
      </c>
      <c r="H28">
        <v>0</v>
      </c>
      <c r="I28">
        <f>(G28*12)+H28</f>
        <v>120</v>
      </c>
      <c r="J28">
        <v>7.735</v>
      </c>
      <c r="K28">
        <v>10</v>
      </c>
      <c r="L28">
        <v>0</v>
      </c>
      <c r="M28">
        <f>(K28*12)+L28</f>
        <v>120</v>
      </c>
      <c r="N28">
        <v>7.735</v>
      </c>
      <c r="O28">
        <v>11</v>
      </c>
      <c r="P28">
        <v>0</v>
      </c>
      <c r="Q28">
        <f>(O28*12)+P28</f>
        <v>132</v>
      </c>
      <c r="R28" s="4">
        <f>(Q28-M28)/M28</f>
        <v>0.1</v>
      </c>
      <c r="S28">
        <v>7.735</v>
      </c>
      <c r="T28">
        <v>11</v>
      </c>
      <c r="U28">
        <v>3</v>
      </c>
      <c r="V28">
        <f>(T28*12)+U28</f>
        <v>135</v>
      </c>
      <c r="W28" s="4">
        <f>(V28-Q28)/Q28</f>
        <v>0.022727272727272728</v>
      </c>
    </row>
    <row r="29" ht="12.75">
      <c r="A29" s="7" t="s">
        <v>217</v>
      </c>
    </row>
    <row r="31" spans="1:23" ht="12.75">
      <c r="A31" s="7" t="s">
        <v>103</v>
      </c>
      <c r="B31" s="3">
        <v>5.157</v>
      </c>
      <c r="C31">
        <v>6</v>
      </c>
      <c r="D31">
        <v>8</v>
      </c>
      <c r="E31">
        <f>(C31*12)+D31</f>
        <v>80</v>
      </c>
      <c r="F31" s="3">
        <v>5.157</v>
      </c>
      <c r="G31">
        <v>6</v>
      </c>
      <c r="H31">
        <v>8</v>
      </c>
      <c r="I31">
        <f>(G31*12)+H31</f>
        <v>80</v>
      </c>
      <c r="J31">
        <v>5.157</v>
      </c>
      <c r="K31">
        <v>6</v>
      </c>
      <c r="L31">
        <v>8</v>
      </c>
      <c r="M31">
        <f>(K31*12)+L31</f>
        <v>80</v>
      </c>
      <c r="N31">
        <v>5.157</v>
      </c>
      <c r="O31">
        <v>7</v>
      </c>
      <c r="P31">
        <v>4</v>
      </c>
      <c r="Q31">
        <f>(O31*12)+P31</f>
        <v>88</v>
      </c>
      <c r="R31" s="4">
        <f>(Q31-M31)/M31</f>
        <v>0.1</v>
      </c>
      <c r="S31">
        <v>5.157</v>
      </c>
      <c r="T31">
        <v>7</v>
      </c>
      <c r="U31">
        <v>6</v>
      </c>
      <c r="V31">
        <f>(T31*12)+U31</f>
        <v>90</v>
      </c>
      <c r="W31" s="4">
        <f>(V31-Q31)/Q31</f>
        <v>0.022727272727272728</v>
      </c>
    </row>
    <row r="32" ht="12.75">
      <c r="A32" s="7"/>
    </row>
    <row r="33" spans="1:23" ht="12.75">
      <c r="A33" s="7" t="s">
        <v>117</v>
      </c>
      <c r="N33" s="12">
        <v>3.2075474351414264</v>
      </c>
      <c r="O33">
        <v>4</v>
      </c>
      <c r="P33">
        <v>6</v>
      </c>
      <c r="Q33">
        <f>(O33*12)+P33</f>
        <v>54</v>
      </c>
      <c r="S33" s="12">
        <v>3.404</v>
      </c>
      <c r="T33">
        <v>5</v>
      </c>
      <c r="U33">
        <v>0</v>
      </c>
      <c r="V33">
        <f>(T33*12)+U33</f>
        <v>60</v>
      </c>
      <c r="W33" s="4">
        <f>(V33-Q33)/Q33</f>
        <v>0.1111111111111111</v>
      </c>
    </row>
    <row r="34" ht="12.75">
      <c r="A34" s="7"/>
    </row>
    <row r="35" spans="1:23" ht="12.75">
      <c r="A35" s="7" t="s">
        <v>231</v>
      </c>
      <c r="S35" s="12">
        <v>4.583926311728395</v>
      </c>
      <c r="T35">
        <v>6</v>
      </c>
      <c r="U35">
        <v>8</v>
      </c>
      <c r="V35">
        <f>(T35*12)+U35</f>
        <v>80</v>
      </c>
      <c r="W35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K20"/>
  <sheetViews>
    <sheetView zoomScale="125" zoomScaleNormal="125" zoomScalePageLayoutView="0" workbookViewId="0" topLeftCell="A1">
      <selection activeCell="E18" sqref="E18"/>
    </sheetView>
  </sheetViews>
  <sheetFormatPr defaultColWidth="9.140625" defaultRowHeight="12.75"/>
  <cols>
    <col min="1" max="1" width="6.57421875" style="0" customWidth="1"/>
    <col min="2" max="2" width="12.57421875" style="0" customWidth="1"/>
    <col min="3" max="3" width="11.8515625" style="0" customWidth="1"/>
    <col min="4" max="4" width="9.8515625" style="0" customWidth="1"/>
    <col min="5" max="5" width="11.8515625" style="0" customWidth="1"/>
    <col min="6" max="7" width="7.28125" style="0" customWidth="1"/>
    <col min="8" max="9" width="9.00390625" style="0" customWidth="1"/>
    <col min="10" max="10" width="12.00390625" style="0" customWidth="1"/>
  </cols>
  <sheetData>
    <row r="1" ht="12.75">
      <c r="C1" s="30" t="s">
        <v>214</v>
      </c>
    </row>
    <row r="2" spans="1:11" ht="12.75">
      <c r="A2" s="28"/>
      <c r="B2" s="11"/>
      <c r="C2" s="30" t="s">
        <v>235</v>
      </c>
      <c r="D2" s="11"/>
      <c r="G2" s="32"/>
      <c r="H2" s="11"/>
      <c r="I2" s="34"/>
      <c r="J2" s="31"/>
      <c r="K2" s="11"/>
    </row>
    <row r="3" spans="1:11" ht="12.75">
      <c r="A3" s="28"/>
      <c r="B3" s="11"/>
      <c r="C3" s="30"/>
      <c r="D3" s="11"/>
      <c r="G3" s="32"/>
      <c r="H3" s="11"/>
      <c r="I3" s="34"/>
      <c r="J3" s="31"/>
      <c r="K3" s="11"/>
    </row>
    <row r="4" spans="1:11" ht="12.75">
      <c r="A4" s="28"/>
      <c r="B4" s="11"/>
      <c r="C4" s="30" t="s">
        <v>113</v>
      </c>
      <c r="D4" s="11"/>
      <c r="G4" s="32"/>
      <c r="H4" s="11"/>
      <c r="I4" s="34"/>
      <c r="J4" s="31"/>
      <c r="K4" s="11"/>
    </row>
    <row r="5" spans="1:11" ht="12.75">
      <c r="A5" s="28"/>
      <c r="B5" s="11"/>
      <c r="D5" s="11"/>
      <c r="G5" s="32"/>
      <c r="H5" s="11"/>
      <c r="I5" s="34"/>
      <c r="J5" s="31"/>
      <c r="K5" s="11"/>
    </row>
    <row r="6" spans="1:11" ht="12.75">
      <c r="A6" s="28"/>
      <c r="B6" s="11"/>
      <c r="C6" s="30"/>
      <c r="D6" s="11"/>
      <c r="G6" s="32"/>
      <c r="H6" s="11"/>
      <c r="I6" s="34"/>
      <c r="J6" s="31"/>
      <c r="K6" s="11"/>
    </row>
    <row r="7" spans="1:11" ht="12.75">
      <c r="A7" s="28" t="s">
        <v>261</v>
      </c>
      <c r="B7" s="29" t="s">
        <v>223</v>
      </c>
      <c r="C7" s="30" t="s">
        <v>203</v>
      </c>
      <c r="D7" s="29" t="s">
        <v>253</v>
      </c>
      <c r="E7" s="28" t="s">
        <v>203</v>
      </c>
      <c r="F7" s="28" t="s">
        <v>259</v>
      </c>
      <c r="G7" s="33" t="s">
        <v>260</v>
      </c>
      <c r="H7" s="29" t="s">
        <v>208</v>
      </c>
      <c r="I7" s="35" t="s">
        <v>208</v>
      </c>
      <c r="J7" s="30" t="s">
        <v>204</v>
      </c>
      <c r="K7" s="11"/>
    </row>
    <row r="8" spans="1:11" ht="12.75">
      <c r="A8" s="28"/>
      <c r="B8" s="29" t="s">
        <v>114</v>
      </c>
      <c r="C8" s="30" t="s">
        <v>107</v>
      </c>
      <c r="D8" s="29" t="s">
        <v>15</v>
      </c>
      <c r="E8" s="28" t="s">
        <v>107</v>
      </c>
      <c r="F8" s="28"/>
      <c r="G8" s="33"/>
      <c r="H8" s="29" t="s">
        <v>172</v>
      </c>
      <c r="I8" s="35" t="s">
        <v>172</v>
      </c>
      <c r="J8" s="30" t="s">
        <v>108</v>
      </c>
      <c r="K8" s="11"/>
    </row>
    <row r="9" spans="1:11" ht="12.75">
      <c r="A9" s="28"/>
      <c r="B9" s="29" t="s">
        <v>237</v>
      </c>
      <c r="C9" s="30" t="s">
        <v>140</v>
      </c>
      <c r="D9" s="29" t="s">
        <v>225</v>
      </c>
      <c r="E9" s="30" t="s">
        <v>140</v>
      </c>
      <c r="F9" s="28"/>
      <c r="G9" s="33"/>
      <c r="H9" s="29" t="s">
        <v>259</v>
      </c>
      <c r="I9" s="35" t="s">
        <v>260</v>
      </c>
      <c r="J9" s="30" t="s">
        <v>79</v>
      </c>
      <c r="K9" s="11"/>
    </row>
    <row r="10" spans="1:11" ht="12.75">
      <c r="A10" s="28"/>
      <c r="B10" s="29" t="s">
        <v>227</v>
      </c>
      <c r="C10" s="30" t="s">
        <v>206</v>
      </c>
      <c r="D10" s="29" t="s">
        <v>9</v>
      </c>
      <c r="E10" s="30" t="s">
        <v>206</v>
      </c>
      <c r="F10" s="28"/>
      <c r="G10" s="33"/>
      <c r="H10" s="29"/>
      <c r="I10" s="34"/>
      <c r="J10" s="31"/>
      <c r="K10" s="11"/>
    </row>
    <row r="11" spans="1:11" ht="12.75">
      <c r="A11" s="28"/>
      <c r="B11" s="29" t="s">
        <v>161</v>
      </c>
      <c r="C11" s="30" t="s">
        <v>112</v>
      </c>
      <c r="D11" s="29" t="s">
        <v>128</v>
      </c>
      <c r="E11" s="30" t="s">
        <v>112</v>
      </c>
      <c r="H11" s="11"/>
      <c r="I11" s="34"/>
      <c r="J11" s="31"/>
      <c r="K11" s="11"/>
    </row>
    <row r="12" spans="1:11" ht="12.75">
      <c r="A12" s="28"/>
      <c r="B12" s="11"/>
      <c r="C12" s="31"/>
      <c r="D12" s="11"/>
      <c r="G12" s="32"/>
      <c r="H12" s="11"/>
      <c r="I12" s="34"/>
      <c r="J12" s="31"/>
      <c r="K12" s="11"/>
    </row>
    <row r="13" spans="1:11" ht="12.75">
      <c r="A13" s="28">
        <v>1346</v>
      </c>
      <c r="B13" s="12">
        <v>1.198780943287037</v>
      </c>
      <c r="C13" s="31"/>
      <c r="D13" s="12">
        <v>3.4757531724200903</v>
      </c>
      <c r="G13" s="32"/>
      <c r="H13" s="11"/>
      <c r="I13" s="34"/>
      <c r="J13" s="31"/>
      <c r="K13" s="11"/>
    </row>
    <row r="14" spans="1:11" ht="12.75">
      <c r="A14" s="28">
        <v>1351</v>
      </c>
      <c r="B14" s="12">
        <v>1.0789028489583332</v>
      </c>
      <c r="C14" s="31">
        <f>(B14-B13)/B13</f>
        <v>-0.10000000000000014</v>
      </c>
      <c r="D14" s="12">
        <v>3.861947969355656</v>
      </c>
      <c r="E14" s="31">
        <f>(D14-D13)/D13</f>
        <v>0.11111111111111113</v>
      </c>
      <c r="F14" s="28">
        <v>1351</v>
      </c>
      <c r="G14" s="33">
        <v>1353</v>
      </c>
      <c r="H14" s="11">
        <v>128.695</v>
      </c>
      <c r="I14" s="34">
        <v>132.567</v>
      </c>
      <c r="J14" s="31">
        <f>(I14-H14)/H14</f>
        <v>0.03008663895256237</v>
      </c>
      <c r="K14" s="11"/>
    </row>
    <row r="15" spans="1:11" ht="12.75">
      <c r="A15" s="28">
        <v>1412</v>
      </c>
      <c r="B15" s="11">
        <v>0.899</v>
      </c>
      <c r="C15" s="31">
        <f>(B15-B14)/B14</f>
        <v>-0.1667461061318237</v>
      </c>
      <c r="D15" s="12">
        <v>4.6343375632267865</v>
      </c>
      <c r="E15" s="31">
        <f>(D15-D14)/D14</f>
        <v>0.19999999999999982</v>
      </c>
      <c r="F15" s="28">
        <v>1412</v>
      </c>
      <c r="G15" s="33">
        <v>1414</v>
      </c>
      <c r="H15" s="11">
        <v>103.557</v>
      </c>
      <c r="I15" s="34">
        <v>107.673</v>
      </c>
      <c r="J15" s="31">
        <f>(I15-H15)/H15</f>
        <v>0.03974622671572177</v>
      </c>
      <c r="K15" s="11"/>
    </row>
    <row r="16" spans="1:11" ht="12.75">
      <c r="A16" s="28">
        <v>1464</v>
      </c>
      <c r="B16" s="12">
        <v>0.7192685659722222</v>
      </c>
      <c r="C16" s="31">
        <f>(B16-B15)/B15</f>
        <v>-0.1999237308429119</v>
      </c>
      <c r="D16" s="12">
        <v>5.792921954033484</v>
      </c>
      <c r="E16" s="31">
        <f>(D16-D15)/D15</f>
        <v>0.25000000000000017</v>
      </c>
      <c r="F16" s="28">
        <v>1464</v>
      </c>
      <c r="G16" s="33">
        <v>1466</v>
      </c>
      <c r="H16" s="11">
        <v>88.062</v>
      </c>
      <c r="I16" s="34">
        <v>105.511</v>
      </c>
      <c r="J16" s="31">
        <f>(I16-H16)/H16</f>
        <v>0.19814448910994525</v>
      </c>
      <c r="K16" s="11"/>
    </row>
    <row r="17" spans="1:11" ht="12.75">
      <c r="A17" s="28">
        <v>1526</v>
      </c>
      <c r="B17" s="12">
        <v>0.6393498364197531</v>
      </c>
      <c r="C17" s="31">
        <f>(B17-B16)/B16</f>
        <v>-0.11111111111111113</v>
      </c>
      <c r="D17" s="12">
        <v>6.517037198287669</v>
      </c>
      <c r="E17" s="31">
        <f>(D17-D16)/D16</f>
        <v>0.12499999999999994</v>
      </c>
      <c r="F17" s="28">
        <v>1526</v>
      </c>
      <c r="G17" s="33">
        <v>1528</v>
      </c>
      <c r="H17" s="11">
        <v>137.12</v>
      </c>
      <c r="I17" s="34">
        <v>184.364</v>
      </c>
      <c r="J17" s="31">
        <f>(I17-H17)/H17</f>
        <v>0.34454492415402566</v>
      </c>
      <c r="K17" s="11"/>
    </row>
    <row r="18" spans="1:11" ht="12.75">
      <c r="A18" s="28">
        <v>1542</v>
      </c>
      <c r="B18" s="12">
        <v>0.49139210069444444</v>
      </c>
      <c r="C18" s="31">
        <f>(B18-B17)/B17</f>
        <v>-0.2314190561991006</v>
      </c>
      <c r="D18" s="12">
        <v>8.479311451645755</v>
      </c>
      <c r="E18" s="31">
        <f>(D18-D17)/D17</f>
        <v>0.30109913349484435</v>
      </c>
      <c r="F18" s="28">
        <v>1542</v>
      </c>
      <c r="G18" s="33">
        <v>1544</v>
      </c>
      <c r="H18" s="11">
        <v>174.939</v>
      </c>
      <c r="I18" s="34">
        <v>180.847</v>
      </c>
      <c r="J18" s="31">
        <f>(I18-H18)/H18</f>
        <v>0.03377177187476787</v>
      </c>
      <c r="K18" s="11"/>
    </row>
    <row r="19" spans="1:11" ht="12.75">
      <c r="A19" s="28"/>
      <c r="B19" s="11"/>
      <c r="C19" s="31"/>
      <c r="D19" s="11"/>
      <c r="G19" s="32"/>
      <c r="H19" s="11"/>
      <c r="I19" s="34"/>
      <c r="J19" s="31"/>
      <c r="K19" s="11"/>
    </row>
    <row r="20" spans="1:11" ht="12.75">
      <c r="A20" s="28"/>
      <c r="B20" s="11"/>
      <c r="C20" s="31"/>
      <c r="D20" s="11"/>
      <c r="G20" s="32"/>
      <c r="H20" s="11"/>
      <c r="I20" s="34"/>
      <c r="J20" s="31"/>
      <c r="K20" s="1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140625" defaultRowHeight="12.75"/>
  <sheetData>
    <row r="1" ht="12.75">
      <c r="A1" s="12">
        <v>0.8990857074652777</v>
      </c>
    </row>
    <row r="3" ht="12.75">
      <c r="B3" s="12">
        <v>0.8990857074652777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2012-07-20T16:40:56Z</dcterms:modified>
  <cp:category/>
  <cp:version/>
  <cp:contentType/>
  <cp:contentStatus/>
</cp:coreProperties>
</file>