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2735" activeTab="0"/>
  </bookViews>
  <sheets>
    <sheet name="Silver" sheetId="1" r:id="rId1"/>
    <sheet name="Gold" sheetId="2" r:id="rId2"/>
    <sheet name="ExchRates" sheetId="3" r:id="rId3"/>
    <sheet name="Silver1488" sheetId="4" r:id="rId4"/>
  </sheets>
  <definedNames>
    <definedName name="_xlnm.Print_Titles" localSheetId="0">'Silver'!$A:$A,'Silver'!$1:$6</definedName>
    <definedName name="_xlnm.Print_Titles" localSheetId="1">'Gold'!$A:$A,'Gold'!$1:$6</definedName>
    <definedName name="_xlnm.Print_Titles" localSheetId="2">'ExchRates'!$A:$A,'ExchRates'!$1:$6</definedName>
    <definedName name="_xlnm.Print_Titles" localSheetId="3">'Silver1488'!$A:$A,'Silver1488'!$1:$6</definedName>
  </definedNames>
  <calcPr fullCalcOnLoad="1"/>
</workbook>
</file>

<file path=xl/sharedStrings.xml><?xml version="1.0" encoding="utf-8"?>
<sst xmlns="http://schemas.openxmlformats.org/spreadsheetml/2006/main" count="494" uniqueCount="245">
  <si>
    <t>Quart d'écu</t>
  </si>
  <si>
    <t>in £ tournois</t>
  </si>
  <si>
    <t>£  tourn</t>
  </si>
  <si>
    <t>£ tournois</t>
  </si>
  <si>
    <t>Écu blanc</t>
  </si>
  <si>
    <t>00-00-1545</t>
  </si>
  <si>
    <t>00-00-1568</t>
  </si>
  <si>
    <t>00-00-1575</t>
  </si>
  <si>
    <t>00-00-1643</t>
  </si>
  <si>
    <t>00-00-1646</t>
  </si>
  <si>
    <t>00-00-1660</t>
  </si>
  <si>
    <t>00-00-1674</t>
  </si>
  <si>
    <t>00-00-1676</t>
  </si>
  <si>
    <t>00-00-1686</t>
  </si>
  <si>
    <t>00-00-1691</t>
  </si>
  <si>
    <t>00-00-1693</t>
  </si>
  <si>
    <t>00-00-1740</t>
  </si>
  <si>
    <t>00-00-1771</t>
  </si>
  <si>
    <t>00-00-1774</t>
  </si>
  <si>
    <t>00-00-1791</t>
  </si>
  <si>
    <t>00-01-1726</t>
  </si>
  <si>
    <t>00-03-1720</t>
  </si>
  <si>
    <t>00-05-1704</t>
  </si>
  <si>
    <t>00-05-1709</t>
  </si>
  <si>
    <t>00-05-1718</t>
  </si>
  <si>
    <t>00-09-1701</t>
  </si>
  <si>
    <t>00-09-1720</t>
  </si>
  <si>
    <t>00-09-1724</t>
  </si>
  <si>
    <t>00-12-1719</t>
  </si>
  <si>
    <t>01-01-1578</t>
  </si>
  <si>
    <t>01-09-1602</t>
  </si>
  <si>
    <t>03-02-1512</t>
  </si>
  <si>
    <t>05-10-1564</t>
  </si>
  <si>
    <t>06-04-1513</t>
  </si>
  <si>
    <t>09-06-1573</t>
  </si>
  <si>
    <t>1 kg Gold</t>
  </si>
  <si>
    <t>10-09-1521</t>
  </si>
  <si>
    <t>10-12-1689</t>
  </si>
  <si>
    <t>11-11-1488</t>
  </si>
  <si>
    <t>13-06-1572</t>
  </si>
  <si>
    <t>1351 =</t>
  </si>
  <si>
    <t>1436-01-28</t>
  </si>
  <si>
    <t>1456-06-00</t>
  </si>
  <si>
    <t>1474-01-04</t>
  </si>
  <si>
    <t>1475-11-02</t>
  </si>
  <si>
    <t>1493-08-31</t>
  </si>
  <si>
    <t>1494-08-13</t>
  </si>
  <si>
    <t>1498-03-11</t>
  </si>
  <si>
    <t>1507-11-19</t>
  </si>
  <si>
    <t>1515-01-23</t>
  </si>
  <si>
    <t>1516-11-22</t>
  </si>
  <si>
    <t>1519-05-18</t>
  </si>
  <si>
    <t>1519-07-21</t>
  </si>
  <si>
    <t>1527-02-01</t>
  </si>
  <si>
    <t>1533-03-05</t>
  </si>
  <si>
    <t>1541-03-19</t>
  </si>
  <si>
    <t>1550-01-14</t>
  </si>
  <si>
    <t>1561-08-30</t>
  </si>
  <si>
    <t>1573-06-09</t>
  </si>
  <si>
    <t>1575-00-00</t>
  </si>
  <si>
    <t>1577-09-00</t>
  </si>
  <si>
    <t>1602-09-00</t>
  </si>
  <si>
    <t>1640-03-31</t>
  </si>
  <si>
    <t>1643-00-00</t>
  </si>
  <si>
    <t>1644-00-00</t>
  </si>
  <si>
    <t>1655-12-23</t>
  </si>
  <si>
    <t>1660-00-00</t>
  </si>
  <si>
    <t>1669-00-00</t>
  </si>
  <si>
    <t>1687-10-27</t>
  </si>
  <si>
    <t>1689-12-10</t>
  </si>
  <si>
    <t>1691-10-00</t>
  </si>
  <si>
    <t>1701-09-00</t>
  </si>
  <si>
    <t>1704-05-00</t>
  </si>
  <si>
    <t>1709-05-00</t>
  </si>
  <si>
    <t>1715-00-00</t>
  </si>
  <si>
    <t>1716-11-00</t>
  </si>
  <si>
    <t>1718-05-00</t>
  </si>
  <si>
    <t>1719-12-00</t>
  </si>
  <si>
    <t>1720-09-00</t>
  </si>
  <si>
    <t>1723-08-00</t>
  </si>
  <si>
    <t>1726-01-00</t>
  </si>
  <si>
    <t>1740-00-00</t>
  </si>
  <si>
    <t>1772-00-00</t>
  </si>
  <si>
    <t>1774-00-00</t>
  </si>
  <si>
    <t>1785-010-30</t>
  </si>
  <si>
    <t>1791-04-00</t>
  </si>
  <si>
    <t>19-03-1541</t>
  </si>
  <si>
    <t>19-11-1507</t>
  </si>
  <si>
    <t>21-07-1519</t>
  </si>
  <si>
    <t>23-01-1515</t>
  </si>
  <si>
    <t>23-12-1641</t>
  </si>
  <si>
    <t>23-12-1655</t>
  </si>
  <si>
    <t>24-02-1540</t>
  </si>
  <si>
    <t>24-04-1488</t>
  </si>
  <si>
    <t>24-05-1489</t>
  </si>
  <si>
    <t>25-03-1550</t>
  </si>
  <si>
    <t>25-04-1498</t>
  </si>
  <si>
    <t>30-08-1561</t>
  </si>
  <si>
    <t>30-10-1785</t>
  </si>
  <si>
    <t>31-01-1549</t>
  </si>
  <si>
    <t>and in</t>
  </si>
  <si>
    <t>as % of</t>
  </si>
  <si>
    <t>as Percent</t>
  </si>
  <si>
    <t>Blanc Couronne (douzain)</t>
  </si>
  <si>
    <t>change</t>
  </si>
  <si>
    <t>Change in</t>
  </si>
  <si>
    <t>Coin in</t>
  </si>
  <si>
    <t>Comments</t>
  </si>
  <si>
    <t>d. tournois</t>
  </si>
  <si>
    <t>Date</t>
  </si>
  <si>
    <t>decimal</t>
  </si>
  <si>
    <t>Demi-franc</t>
  </si>
  <si>
    <t xml:space="preserve">Demi-franc </t>
  </si>
  <si>
    <t>Demi-gros</t>
  </si>
  <si>
    <t>den tourn</t>
  </si>
  <si>
    <t>deniers</t>
  </si>
  <si>
    <t>Deniers</t>
  </si>
  <si>
    <t>Dizain</t>
  </si>
  <si>
    <t>Douzain</t>
  </si>
  <si>
    <t>Douzain [Charles IX]</t>
  </si>
  <si>
    <t>Douzain Salam.</t>
  </si>
  <si>
    <t>Ecu 3 couronnes</t>
  </si>
  <si>
    <t>Ecu au 8 Louis</t>
  </si>
  <si>
    <t>Ecu bandeau</t>
  </si>
  <si>
    <t>Ecu blanc</t>
  </si>
  <si>
    <t>Ecu constitutionelle</t>
  </si>
  <si>
    <t>Ecu couronne</t>
  </si>
  <si>
    <t>Ecu croisee</t>
  </si>
  <si>
    <t>Ecu d'or</t>
  </si>
  <si>
    <t>Ecu France</t>
  </si>
  <si>
    <t>Ecu insignes</t>
  </si>
  <si>
    <t>Ecu Lauriers</t>
  </si>
  <si>
    <t>Ecu Nav</t>
  </si>
  <si>
    <t>Ecu p.-epic</t>
  </si>
  <si>
    <t>Ecu paimes</t>
  </si>
  <si>
    <t>Ecu palmes</t>
  </si>
  <si>
    <t>Ecu Parlement</t>
  </si>
  <si>
    <t>Ecu soleil</t>
  </si>
  <si>
    <t>ENGLAND:  ANGEL NOBLE (ANGELOT)</t>
  </si>
  <si>
    <t>ENGLAND: ROSE CROWNS</t>
  </si>
  <si>
    <t>ENGLAND: ROSE NOBLE (RYAL OR ROYAL)</t>
  </si>
  <si>
    <t>Equivalent</t>
  </si>
  <si>
    <t>EXCHANGE RATES ON FOREIGN GOLD COINS IN FRANCE</t>
  </si>
  <si>
    <t>Fine AR</t>
  </si>
  <si>
    <t>Fine Gold</t>
  </si>
  <si>
    <t>Fineness</t>
  </si>
  <si>
    <t>Fr Ecu Soleil</t>
  </si>
  <si>
    <t>Franc d'argent</t>
  </si>
  <si>
    <t>FRANCE: ECU AU SOLEIL</t>
  </si>
  <si>
    <t>FRENCH COINAGES: SILVER</t>
  </si>
  <si>
    <t>FRENCH GOLD COINAGES</t>
  </si>
  <si>
    <t>Gold in</t>
  </si>
  <si>
    <t>grains</t>
  </si>
  <si>
    <t>Grains</t>
  </si>
  <si>
    <t>grams</t>
  </si>
  <si>
    <t>Grams</t>
  </si>
  <si>
    <t>Grams of</t>
  </si>
  <si>
    <t>Grand Blanc (douzain)</t>
  </si>
  <si>
    <t>Gros</t>
  </si>
  <si>
    <t>Gros de 3 blancs</t>
  </si>
  <si>
    <t>Gros de 6 blancs</t>
  </si>
  <si>
    <t>Gros de Nesle</t>
  </si>
  <si>
    <t>Gros de Roi</t>
  </si>
  <si>
    <t>Henri d'or</t>
  </si>
  <si>
    <t>in</t>
  </si>
  <si>
    <t>in Carats</t>
  </si>
  <si>
    <t>in Coin</t>
  </si>
  <si>
    <t>in gold</t>
  </si>
  <si>
    <t>in grams</t>
  </si>
  <si>
    <t>in Value</t>
  </si>
  <si>
    <t>Index:</t>
  </si>
  <si>
    <t>Introduced</t>
  </si>
  <si>
    <t>ITALY: DUCATS AND FLORINS</t>
  </si>
  <si>
    <t>Karolus</t>
  </si>
  <si>
    <t>Liard</t>
  </si>
  <si>
    <t>Lis d'argent</t>
  </si>
  <si>
    <t>Lis d'or</t>
  </si>
  <si>
    <t>livre</t>
  </si>
  <si>
    <t>Livre Indes</t>
  </si>
  <si>
    <t>livres</t>
  </si>
  <si>
    <t>Louis</t>
  </si>
  <si>
    <t>Louis a l'ecu</t>
  </si>
  <si>
    <t>Louis au 2 Lions</t>
  </si>
  <si>
    <t>Louis au 4 Lions</t>
  </si>
  <si>
    <t>Louis au 8 Lions</t>
  </si>
  <si>
    <t>Louis bandeau</t>
  </si>
  <si>
    <t>Louis constitutional</t>
  </si>
  <si>
    <t>Louis d'or</t>
  </si>
  <si>
    <t>Louis ecus</t>
  </si>
  <si>
    <t>Louis lunettes</t>
  </si>
  <si>
    <t>Louis Malte.</t>
  </si>
  <si>
    <t>Louis Mirliton</t>
  </si>
  <si>
    <t>Louis Noialles</t>
  </si>
  <si>
    <t>Louis palmes</t>
  </si>
  <si>
    <t>Ludovicus</t>
  </si>
  <si>
    <t>marc</t>
  </si>
  <si>
    <t>marc AR</t>
  </si>
  <si>
    <t>Marc AR</t>
  </si>
  <si>
    <t>Marc de</t>
  </si>
  <si>
    <t>Marc in</t>
  </si>
  <si>
    <t>Name</t>
  </si>
  <si>
    <t>NETHERLANDS: CAROLUS</t>
  </si>
  <si>
    <t>NETHERLANDS: PHILIPPUS FLORIN</t>
  </si>
  <si>
    <t>of 24 carats</t>
  </si>
  <si>
    <t>of Blanc 1488</t>
  </si>
  <si>
    <t>of Coin</t>
  </si>
  <si>
    <t>Official</t>
  </si>
  <si>
    <t>Official g</t>
  </si>
  <si>
    <t>out of 24 c</t>
  </si>
  <si>
    <t>pence</t>
  </si>
  <si>
    <t>Percent</t>
  </si>
  <si>
    <t>Percent Gold</t>
  </si>
  <si>
    <t>Percent of</t>
  </si>
  <si>
    <t>Petit livre d'argent</t>
  </si>
  <si>
    <t>pound</t>
  </si>
  <si>
    <t>Pure Gold</t>
  </si>
  <si>
    <t>Pure Gold in</t>
  </si>
  <si>
    <t>Pure silver</t>
  </si>
  <si>
    <t>Pure Silver</t>
  </si>
  <si>
    <t xml:space="preserve">pure silver </t>
  </si>
  <si>
    <t>Quatre sols</t>
  </si>
  <si>
    <t>Quinzain</t>
  </si>
  <si>
    <t>Rate in</t>
  </si>
  <si>
    <t>Rate in s</t>
  </si>
  <si>
    <t>Reduction</t>
  </si>
  <si>
    <t>s tournois</t>
  </si>
  <si>
    <t>shillings</t>
  </si>
  <si>
    <t>Silver in</t>
  </si>
  <si>
    <t>Silver per</t>
  </si>
  <si>
    <t>Taille</t>
  </si>
  <si>
    <t>Taille to</t>
  </si>
  <si>
    <t>Teston</t>
  </si>
  <si>
    <t>Teston 1513</t>
  </si>
  <si>
    <t>Titre</t>
  </si>
  <si>
    <t>to marc</t>
  </si>
  <si>
    <t>to Marc</t>
  </si>
  <si>
    <t>tournois</t>
  </si>
  <si>
    <t>Traite per</t>
  </si>
  <si>
    <t>Troyes</t>
  </si>
  <si>
    <t>Value</t>
  </si>
  <si>
    <t>Value in</t>
  </si>
  <si>
    <t>Value of</t>
  </si>
  <si>
    <t>Value of 1 kg</t>
  </si>
  <si>
    <t>Weight</t>
  </si>
  <si>
    <t>Weight of</t>
  </si>
</sst>
</file>

<file path=xl/styles.xml><?xml version="1.0" encoding="utf-8"?>
<styleSheet xmlns="http://schemas.openxmlformats.org/spreadsheetml/2006/main">
  <numFmts count="33">
    <numFmt numFmtId="164" formatCode="[$$-409]\ #,##0.00"/>
    <numFmt numFmtId="165" formatCode="[$$-409]\ #,##0"/>
    <numFmt numFmtId="166" formatCode="0.00000"/>
    <numFmt numFmtId="167" formatCode="0.00000"/>
    <numFmt numFmtId="168" formatCode="0.000"/>
    <numFmt numFmtId="169" formatCode="0.00000"/>
    <numFmt numFmtId="170" formatCode="0.00000"/>
    <numFmt numFmtId="171" formatCode="0.000"/>
    <numFmt numFmtId="172" formatCode="0.000%"/>
    <numFmt numFmtId="173" formatCode="0.000"/>
    <numFmt numFmtId="174" formatCode="#,##0.000"/>
    <numFmt numFmtId="175" formatCode="#,##0.000"/>
    <numFmt numFmtId="176" formatCode="#,##0.000"/>
    <numFmt numFmtId="177" formatCode="0.0000"/>
    <numFmt numFmtId="178" formatCode="0.0000"/>
    <numFmt numFmtId="179" formatCode="0.0000"/>
    <numFmt numFmtId="180" formatCode="0.0000%"/>
    <numFmt numFmtId="181" formatCode="0.0000%"/>
    <numFmt numFmtId="182" formatCode="0.000"/>
    <numFmt numFmtId="183" formatCode="0.000%"/>
    <numFmt numFmtId="184" formatCode="0.0000"/>
    <numFmt numFmtId="185" formatCode="0.0000"/>
    <numFmt numFmtId="186" formatCode="0.000%"/>
    <numFmt numFmtId="187" formatCode="0.000%"/>
    <numFmt numFmtId="188" formatCode="0.000"/>
    <numFmt numFmtId="189" formatCode="0.000"/>
    <numFmt numFmtId="190" formatCode="0.00000"/>
    <numFmt numFmtId="191" formatCode="0.000"/>
    <numFmt numFmtId="192" formatCode="0.000"/>
    <numFmt numFmtId="193" formatCode="0.0000"/>
    <numFmt numFmtId="194" formatCode="0.000"/>
    <numFmt numFmtId="195" formatCode="0.000"/>
    <numFmt numFmtId="196" formatCode="#,##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164" fontId="0" fillId="2" borderId="0">
      <alignment/>
      <protection/>
    </xf>
    <xf numFmtId="10" fontId="0" fillId="2" borderId="0">
      <alignment/>
      <protection/>
    </xf>
    <xf numFmtId="2" fontId="0" fillId="2" borderId="0">
      <alignment/>
      <protection/>
    </xf>
    <xf numFmtId="0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0" fillId="2" borderId="1">
      <alignment/>
      <protection/>
    </xf>
    <xf numFmtId="3" fontId="0" fillId="2" borderId="0">
      <alignment/>
      <protection/>
    </xf>
    <xf numFmtId="165" fontId="0" fillId="2" borderId="0">
      <alignment/>
      <protection/>
    </xf>
  </cellStyleXfs>
  <cellXfs count="57">
    <xf numFmtId="0" fontId="0" fillId="2" borderId="0" xfId="0" applyAlignment="1">
      <alignment/>
    </xf>
    <xf numFmtId="0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168" fontId="0" fillId="2" borderId="0" xfId="0" applyAlignment="1">
      <alignment/>
    </xf>
    <xf numFmtId="0" fontId="3" fillId="2" borderId="0" xfId="0" applyAlignment="1">
      <alignment/>
    </xf>
    <xf numFmtId="166" fontId="3" fillId="2" borderId="0" xfId="0" applyAlignment="1">
      <alignment/>
    </xf>
    <xf numFmtId="166" fontId="3" fillId="2" borderId="0" xfId="0" applyAlignment="1">
      <alignment/>
    </xf>
    <xf numFmtId="168" fontId="3" fillId="2" borderId="0" xfId="0" applyAlignment="1">
      <alignment/>
    </xf>
    <xf numFmtId="0" fontId="3" fillId="2" borderId="0" xfId="0" applyAlignment="1">
      <alignment/>
    </xf>
    <xf numFmtId="172" fontId="0" fillId="2" borderId="0" xfId="0" applyAlignment="1">
      <alignment/>
    </xf>
    <xf numFmtId="10" fontId="0" fillId="2" borderId="0" xfId="0" applyAlignment="1">
      <alignment/>
    </xf>
    <xf numFmtId="10" fontId="3" fillId="2" borderId="0" xfId="0" applyAlignment="1">
      <alignment/>
    </xf>
    <xf numFmtId="2" fontId="0" fillId="2" borderId="0" xfId="0" applyAlignment="1">
      <alignment/>
    </xf>
    <xf numFmtId="2" fontId="3" fillId="2" borderId="0" xfId="0" applyAlignment="1">
      <alignment/>
    </xf>
    <xf numFmtId="2" fontId="0" fillId="2" borderId="0" xfId="0" applyAlignment="1">
      <alignment/>
    </xf>
    <xf numFmtId="10" fontId="0" fillId="2" borderId="0" xfId="0" applyAlignment="1">
      <alignment/>
    </xf>
    <xf numFmtId="168" fontId="0" fillId="2" borderId="0" xfId="0" applyAlignment="1">
      <alignment/>
    </xf>
    <xf numFmtId="174" fontId="0" fillId="2" borderId="0" xfId="0" applyAlignment="1">
      <alignment/>
    </xf>
    <xf numFmtId="174" fontId="3" fillId="2" borderId="0" xfId="0" applyAlignment="1">
      <alignment/>
    </xf>
    <xf numFmtId="174" fontId="0" fillId="2" borderId="0" xfId="0" applyAlignment="1">
      <alignment/>
    </xf>
    <xf numFmtId="177" fontId="0" fillId="2" borderId="0" xfId="0" applyAlignment="1">
      <alignment/>
    </xf>
    <xf numFmtId="177" fontId="3" fillId="2" borderId="0" xfId="0" applyAlignment="1">
      <alignment/>
    </xf>
    <xf numFmtId="0" fontId="3" fillId="2" borderId="0" xfId="0" applyAlignment="1">
      <alignment horizontal="left"/>
    </xf>
    <xf numFmtId="177" fontId="3" fillId="2" borderId="0" xfId="0" applyAlignment="1">
      <alignment horizontal="left"/>
    </xf>
    <xf numFmtId="180" fontId="0" fillId="2" borderId="0" xfId="0" applyAlignment="1">
      <alignment/>
    </xf>
    <xf numFmtId="180" fontId="3" fillId="2" borderId="0" xfId="0" applyAlignment="1">
      <alignment/>
    </xf>
    <xf numFmtId="2" fontId="3" fillId="2" borderId="0" xfId="0" applyAlignment="1">
      <alignment/>
    </xf>
    <xf numFmtId="1" fontId="0" fillId="2" borderId="0" xfId="0" applyAlignment="1">
      <alignment/>
    </xf>
    <xf numFmtId="1" fontId="3" fillId="2" borderId="0" xfId="0" applyAlignment="1">
      <alignment/>
    </xf>
    <xf numFmtId="168" fontId="3" fillId="2" borderId="0" xfId="0" applyAlignment="1">
      <alignment horizontal="left"/>
    </xf>
    <xf numFmtId="172" fontId="3" fillId="2" borderId="0" xfId="0" applyAlignment="1">
      <alignment/>
    </xf>
    <xf numFmtId="177" fontId="0" fillId="2" borderId="0" xfId="0" applyAlignment="1">
      <alignment/>
    </xf>
    <xf numFmtId="177" fontId="3" fillId="2" borderId="0" xfId="0" applyAlignment="1">
      <alignment/>
    </xf>
    <xf numFmtId="172" fontId="3" fillId="2" borderId="0" xfId="0" applyAlignment="1">
      <alignment/>
    </xf>
    <xf numFmtId="172" fontId="0" fillId="2" borderId="0" xfId="0" applyAlignment="1">
      <alignment/>
    </xf>
    <xf numFmtId="168" fontId="0" fillId="2" borderId="0" xfId="0" applyAlignment="1">
      <alignment/>
    </xf>
    <xf numFmtId="168" fontId="0" fillId="2" borderId="0" xfId="0" applyAlignment="1">
      <alignment/>
    </xf>
    <xf numFmtId="166" fontId="3" fillId="2" borderId="0" xfId="0" applyAlignment="1">
      <alignment/>
    </xf>
    <xf numFmtId="168" fontId="0" fillId="2" borderId="0" xfId="0" applyAlignment="1">
      <alignment/>
    </xf>
    <xf numFmtId="0" fontId="3" fillId="2" borderId="0" xfId="0" applyAlignment="1">
      <alignment/>
    </xf>
    <xf numFmtId="168" fontId="3" fillId="2" borderId="0" xfId="0" applyAlignment="1">
      <alignment/>
    </xf>
    <xf numFmtId="10" fontId="0" fillId="2" borderId="0" xfId="0" applyAlignment="1">
      <alignment/>
    </xf>
    <xf numFmtId="177" fontId="0" fillId="2" borderId="0" xfId="0" applyAlignment="1">
      <alignment/>
    </xf>
    <xf numFmtId="168" fontId="3" fillId="2" borderId="0" xfId="0" applyAlignment="1">
      <alignment/>
    </xf>
    <xf numFmtId="10" fontId="0" fillId="2" borderId="0" xfId="0" applyAlignment="1">
      <alignment/>
    </xf>
    <xf numFmtId="10" fontId="3" fillId="2" borderId="0" xfId="0" applyAlignment="1">
      <alignment/>
    </xf>
    <xf numFmtId="10" fontId="0" fillId="2" borderId="0" xfId="0" applyAlignment="1">
      <alignment/>
    </xf>
    <xf numFmtId="168" fontId="3" fillId="2" borderId="0" xfId="0" applyAlignment="1">
      <alignment/>
    </xf>
    <xf numFmtId="174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0" fontId="3" fillId="2" borderId="0" xfId="0" applyAlignment="1">
      <alignment/>
    </xf>
    <xf numFmtId="10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2" fontId="3" fillId="2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FFFF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67"/>
  <sheetViews>
    <sheetView tabSelected="1" defaultGridColor="0" zoomScale="90" zoomScaleNormal="90" colorId="0" workbookViewId="0" topLeftCell="A1">
      <pane xSplit="2" ySplit="7" topLeftCell="O8" activePane="bottomRight" state="frozen"/>
      <selection pane="bottomRight" activeCell="B5" sqref="B5"/>
    </sheetView>
  </sheetViews>
  <sheetFormatPr defaultColWidth="9.140625" defaultRowHeight="12.75"/>
  <cols>
    <col min="1" max="1" width="12.00390625" style="40" customWidth="1"/>
    <col min="2" max="2" width="28.7109375" style="0" customWidth="1"/>
    <col min="3" max="3" width="8.421875" style="39" customWidth="1"/>
    <col min="4" max="4" width="8.421875" style="43" customWidth="1"/>
    <col min="5" max="5" width="8.28125" style="0" customWidth="1"/>
    <col min="6" max="6" width="7.140625" style="0" customWidth="1"/>
    <col min="7" max="7" width="8.7109375" style="2" customWidth="1"/>
    <col min="8" max="8" width="11.28125" style="3" customWidth="1"/>
    <col min="9" max="9" width="11.7109375" style="2" customWidth="1"/>
    <col min="10" max="10" width="11.140625" style="0" customWidth="1"/>
    <col min="11" max="11" width="11.140625" style="37" customWidth="1"/>
    <col min="12" max="12" width="9.421875" style="3" customWidth="1"/>
    <col min="13" max="13" width="9.421875" style="39" customWidth="1"/>
    <col min="14" max="14" width="9.421875" style="45" customWidth="1"/>
    <col min="15" max="15" width="10.28125" style="0" customWidth="1"/>
    <col min="16" max="16" width="13.57421875" style="11" customWidth="1"/>
    <col min="17" max="17" width="12.140625" style="11" customWidth="1"/>
    <col min="18" max="18" width="12.7109375" style="4" customWidth="1"/>
    <col min="19" max="19" width="12.421875" style="18" customWidth="1"/>
    <col min="20" max="21" width="11.00390625" style="42" customWidth="1"/>
  </cols>
  <sheetData>
    <row r="1" spans="1:16" ht="12.75">
      <c r="A1" s="40"/>
      <c r="B1" s="5" t="s">
        <v>149</v>
      </c>
      <c r="C1" s="8"/>
      <c r="D1" s="22"/>
      <c r="E1" s="5"/>
      <c r="F1" s="5"/>
      <c r="G1" s="6"/>
      <c r="H1" s="7"/>
      <c r="I1" s="6"/>
      <c r="J1" s="5"/>
      <c r="K1" s="44"/>
      <c r="L1" s="7"/>
      <c r="M1" s="8"/>
      <c r="N1" s="12"/>
      <c r="O1" s="5"/>
      <c r="P1" s="11"/>
    </row>
    <row r="2" spans="1:16" ht="12.75">
      <c r="A2" s="40"/>
      <c r="B2" s="5"/>
      <c r="C2" s="8"/>
      <c r="D2" s="22"/>
      <c r="E2" s="5"/>
      <c r="F2" s="5"/>
      <c r="G2" s="6"/>
      <c r="H2" s="7"/>
      <c r="I2" s="6"/>
      <c r="J2" s="5"/>
      <c r="K2" s="44"/>
      <c r="L2" s="7"/>
      <c r="M2" s="8"/>
      <c r="N2" s="12"/>
      <c r="O2" s="5"/>
      <c r="P2" s="11"/>
    </row>
    <row r="3" spans="1:21" ht="12.75">
      <c r="A3" s="40" t="s">
        <v>109</v>
      </c>
      <c r="B3" s="5" t="s">
        <v>200</v>
      </c>
      <c r="C3" s="8" t="s">
        <v>229</v>
      </c>
      <c r="D3" s="22" t="s">
        <v>243</v>
      </c>
      <c r="E3" s="5" t="s">
        <v>233</v>
      </c>
      <c r="F3" s="5" t="s">
        <v>233</v>
      </c>
      <c r="G3" s="6" t="s">
        <v>210</v>
      </c>
      <c r="H3" s="7" t="s">
        <v>210</v>
      </c>
      <c r="I3" s="6" t="s">
        <v>156</v>
      </c>
      <c r="J3" s="5" t="s">
        <v>240</v>
      </c>
      <c r="K3" s="44" t="s">
        <v>240</v>
      </c>
      <c r="L3" s="7" t="s">
        <v>155</v>
      </c>
      <c r="M3" s="8" t="s">
        <v>155</v>
      </c>
      <c r="N3" s="12" t="s">
        <v>227</v>
      </c>
      <c r="O3" s="5" t="s">
        <v>210</v>
      </c>
      <c r="P3" s="12" t="s">
        <v>210</v>
      </c>
      <c r="Q3" s="12" t="s">
        <v>212</v>
      </c>
      <c r="R3" s="8" t="s">
        <v>237</v>
      </c>
      <c r="S3" s="19" t="s">
        <v>242</v>
      </c>
      <c r="T3" s="12" t="s">
        <v>227</v>
      </c>
      <c r="U3" s="12" t="s">
        <v>227</v>
      </c>
    </row>
    <row r="4" spans="1:21" ht="12.75">
      <c r="A4" s="40"/>
      <c r="B4" s="5"/>
      <c r="C4" s="8" t="s">
        <v>234</v>
      </c>
      <c r="D4" s="22" t="s">
        <v>168</v>
      </c>
      <c r="E4" s="5" t="s">
        <v>115</v>
      </c>
      <c r="F4" s="5" t="s">
        <v>152</v>
      </c>
      <c r="G4" s="6" t="s">
        <v>143</v>
      </c>
      <c r="H4" s="7" t="s">
        <v>217</v>
      </c>
      <c r="I4" s="6" t="s">
        <v>218</v>
      </c>
      <c r="J4" s="5" t="s">
        <v>108</v>
      </c>
      <c r="K4" s="44" t="s">
        <v>179</v>
      </c>
      <c r="L4" s="7" t="s">
        <v>228</v>
      </c>
      <c r="M4" s="8" t="s">
        <v>228</v>
      </c>
      <c r="N4" s="12" t="s">
        <v>3</v>
      </c>
      <c r="O4" s="5" t="s">
        <v>104</v>
      </c>
      <c r="P4" s="12" t="s">
        <v>204</v>
      </c>
      <c r="Q4" s="12" t="s">
        <v>232</v>
      </c>
      <c r="R4" s="8" t="s">
        <v>197</v>
      </c>
      <c r="S4" s="19" t="s">
        <v>219</v>
      </c>
      <c r="T4" s="12" t="s">
        <v>3</v>
      </c>
      <c r="U4" s="12" t="s">
        <v>3</v>
      </c>
    </row>
    <row r="5" spans="1:21" ht="12.75">
      <c r="A5" s="40"/>
      <c r="B5" s="1"/>
      <c r="C5" s="39"/>
      <c r="D5" s="43"/>
      <c r="E5" s="1"/>
      <c r="F5" s="1"/>
      <c r="G5" s="3"/>
      <c r="H5" s="3"/>
      <c r="I5" s="2"/>
      <c r="K5" s="48" t="s">
        <v>236</v>
      </c>
      <c r="L5" s="38" t="s">
        <v>114</v>
      </c>
      <c r="M5" s="41" t="s">
        <v>2</v>
      </c>
      <c r="N5" s="46" t="s">
        <v>101</v>
      </c>
      <c r="P5" s="11"/>
      <c r="Q5" s="11"/>
      <c r="R5" s="8" t="s">
        <v>1</v>
      </c>
      <c r="S5" s="19" t="s">
        <v>1</v>
      </c>
      <c r="T5" s="46" t="s">
        <v>101</v>
      </c>
      <c r="U5" s="46" t="s">
        <v>101</v>
      </c>
    </row>
    <row r="6" spans="1:21" ht="12.75">
      <c r="A6" s="40"/>
      <c r="B6" s="1"/>
      <c r="C6" s="39"/>
      <c r="D6" s="43"/>
      <c r="E6" s="1"/>
      <c r="F6" s="1"/>
      <c r="G6" s="3"/>
      <c r="H6" s="3"/>
      <c r="I6" s="3"/>
      <c r="J6" s="1"/>
      <c r="K6" s="37"/>
      <c r="L6" s="3"/>
      <c r="M6" s="39"/>
      <c r="N6" s="46" t="s">
        <v>196</v>
      </c>
      <c r="O6" s="1"/>
      <c r="P6" s="16"/>
      <c r="Q6" s="16"/>
      <c r="R6" s="17"/>
      <c r="S6" s="20"/>
      <c r="T6" s="46" t="s">
        <v>195</v>
      </c>
      <c r="U6" s="46" t="s">
        <v>177</v>
      </c>
    </row>
    <row r="7" spans="1:19" ht="12.75">
      <c r="A7" s="40"/>
      <c r="C7" s="39"/>
      <c r="D7" s="43"/>
      <c r="G7" s="2"/>
      <c r="H7" s="2"/>
      <c r="I7" s="2"/>
      <c r="K7" s="37"/>
      <c r="L7" s="2"/>
      <c r="M7" s="39"/>
      <c r="N7" s="47"/>
      <c r="P7" s="11"/>
      <c r="Q7" s="11"/>
      <c r="R7" s="4"/>
      <c r="S7" s="18"/>
    </row>
    <row r="8" spans="1:22" ht="12.75">
      <c r="A8" s="40" t="s">
        <v>93</v>
      </c>
      <c r="B8" t="s">
        <v>103</v>
      </c>
      <c r="C8" s="39">
        <v>86</v>
      </c>
      <c r="D8" s="43">
        <f>244.7529/C8</f>
        <v>2.845963953488372</v>
      </c>
      <c r="E8">
        <v>4</v>
      </c>
      <c r="F8">
        <v>12</v>
      </c>
      <c r="G8" s="2">
        <f>(E8/12)+(F8/24/12)</f>
        <v>0.375</v>
      </c>
      <c r="H8" s="3">
        <f>G8*(23/24)</f>
        <v>0.359375</v>
      </c>
      <c r="I8" s="2">
        <f>(244.7529/C8)*H8</f>
        <v>1.0227682957848838</v>
      </c>
      <c r="J8">
        <v>12</v>
      </c>
      <c r="K8" s="37">
        <f>J8/240</f>
        <v>0.05</v>
      </c>
      <c r="L8" s="3">
        <f>I8/J8</f>
        <v>0.08523069131540699</v>
      </c>
      <c r="M8" s="39">
        <f>L8*240</f>
        <v>20.455365915697676</v>
      </c>
      <c r="N8" s="45">
        <f>M8/244.753*(24/23)</f>
        <v>0.08720926669402537</v>
      </c>
      <c r="P8" s="11">
        <f>L8/0.08523</f>
        <v>1.0000081111745511</v>
      </c>
      <c r="Q8" s="11">
        <f>L8/0.075055</f>
        <v>1.1355764614670174</v>
      </c>
      <c r="R8" s="4">
        <f>(C8*J8/240)/G8</f>
        <v>11.466666666666667</v>
      </c>
      <c r="S8" s="18">
        <f>R8/0.2447529*(24/23)</f>
        <v>48.88692796409909</v>
      </c>
      <c r="T8" s="42">
        <f>1/R8</f>
        <v>0.0872093023255814</v>
      </c>
      <c r="U8" s="42">
        <f>T8/2</f>
        <v>0.0436046511627907</v>
      </c>
      <c r="V8">
        <f>244.753*2</f>
        <v>489.506</v>
      </c>
    </row>
    <row r="9" spans="1:21" ht="12.75">
      <c r="A9" s="40" t="s">
        <v>38</v>
      </c>
      <c r="B9" t="s">
        <v>173</v>
      </c>
      <c r="C9" s="39">
        <v>92</v>
      </c>
      <c r="D9" s="43">
        <f>244.7529/C9</f>
        <v>2.6603576086956524</v>
      </c>
      <c r="E9">
        <v>4</v>
      </c>
      <c r="F9">
        <v>0</v>
      </c>
      <c r="G9" s="2">
        <f>(E9/12)+(F9/24/12)</f>
        <v>0.3333333333333333</v>
      </c>
      <c r="H9" s="3">
        <f>G9*(23/24)</f>
        <v>0.3194444444444444</v>
      </c>
      <c r="I9" s="2">
        <f>(244.7529/C9)*H9</f>
        <v>0.8498364583333333</v>
      </c>
      <c r="J9">
        <v>10</v>
      </c>
      <c r="K9" s="37">
        <f>J9/240</f>
        <v>0.041666666666666664</v>
      </c>
      <c r="L9" s="3">
        <f>I9/J9</f>
        <v>0.08498364583333333</v>
      </c>
      <c r="M9" s="39">
        <f>L9*240</f>
        <v>20.396075</v>
      </c>
      <c r="N9" s="45">
        <f>M9/244.753*(24/23)</f>
        <v>0.08695648621085428</v>
      </c>
      <c r="O9" s="10">
        <f>(L9-L8)/L8</f>
        <v>-0.002898550724637876</v>
      </c>
      <c r="P9" s="11">
        <f>L9/0.08523</f>
        <v>0.9971095369392623</v>
      </c>
      <c r="Q9" s="11">
        <f>L9/0.075055</f>
        <v>1.1322849354917506</v>
      </c>
      <c r="R9" s="4">
        <f>(C9*J9/240)/G9</f>
        <v>11.500000000000002</v>
      </c>
      <c r="S9" s="18">
        <f>R9/0.2447529*(24/23)</f>
        <v>49.02904112678543</v>
      </c>
      <c r="T9" s="42">
        <f>1/R9</f>
        <v>0.08695652173913042</v>
      </c>
      <c r="U9" s="42">
        <f>T9/2</f>
        <v>0.04347826086956521</v>
      </c>
    </row>
    <row r="10" spans="1:21" ht="12.75">
      <c r="A10" s="40" t="s">
        <v>94</v>
      </c>
      <c r="B10" t="s">
        <v>162</v>
      </c>
      <c r="C10" s="39">
        <v>69</v>
      </c>
      <c r="D10" s="43">
        <f>244.7529/C10</f>
        <v>3.5471434782608697</v>
      </c>
      <c r="E10">
        <v>11</v>
      </c>
      <c r="F10">
        <v>12</v>
      </c>
      <c r="G10" s="2">
        <f>(E10/12)+(F10/24/12)</f>
        <v>0.9583333333333333</v>
      </c>
      <c r="H10" s="3">
        <f>G10*(23/24)</f>
        <v>0.9184027777777778</v>
      </c>
      <c r="I10" s="2">
        <f>(244.7529/C10)*H10</f>
        <v>3.2577064236111113</v>
      </c>
      <c r="J10">
        <v>36</v>
      </c>
      <c r="K10" s="37">
        <f>J10/240</f>
        <v>0.15</v>
      </c>
      <c r="L10" s="3">
        <f>I10/J10</f>
        <v>0.09049184510030865</v>
      </c>
      <c r="M10" s="39">
        <f>L10*240</f>
        <v>21.718042824074075</v>
      </c>
      <c r="N10" s="45">
        <f>M10/244.753*(24/23)</f>
        <v>0.0925925547615578</v>
      </c>
      <c r="O10" s="10">
        <f>(L10-L9)/L9</f>
        <v>0.06481481481481498</v>
      </c>
      <c r="P10" s="11">
        <f>L10/0.08523</f>
        <v>1.0617370069260665</v>
      </c>
      <c r="Q10" s="11">
        <f>L10/0.075055</f>
        <v>1.205673773903253</v>
      </c>
      <c r="R10" s="4">
        <f>(C10*J10/240)/G10</f>
        <v>10.8</v>
      </c>
      <c r="S10" s="18">
        <f>R10/0.2447529*(24/23)</f>
        <v>46.0446647103724</v>
      </c>
      <c r="T10" s="42">
        <f>1/R10</f>
        <v>0.09259259259259259</v>
      </c>
      <c r="U10" s="42">
        <f>T10/2</f>
        <v>0.046296296296296294</v>
      </c>
    </row>
    <row r="11" spans="1:21" ht="12.75">
      <c r="A11" s="40" t="s">
        <v>96</v>
      </c>
      <c r="B11" t="s">
        <v>103</v>
      </c>
      <c r="C11" s="39">
        <v>86</v>
      </c>
      <c r="D11" s="43">
        <f>244.7529/C11</f>
        <v>2.845963953488372</v>
      </c>
      <c r="E11">
        <v>4</v>
      </c>
      <c r="F11">
        <v>12</v>
      </c>
      <c r="G11" s="2">
        <f>(E11/12)+(F11/24/12)</f>
        <v>0.375</v>
      </c>
      <c r="H11" s="3">
        <f>G11*(23/24)</f>
        <v>0.359375</v>
      </c>
      <c r="I11" s="2">
        <f>(244.7529/C11)*H11</f>
        <v>1.0227682957848838</v>
      </c>
      <c r="J11">
        <v>12</v>
      </c>
      <c r="K11" s="37">
        <f>J11/240</f>
        <v>0.05</v>
      </c>
      <c r="L11" s="3">
        <f>I11/J11</f>
        <v>0.08523069131540699</v>
      </c>
      <c r="M11" s="39">
        <f>L11*240</f>
        <v>20.455365915697676</v>
      </c>
      <c r="N11" s="45">
        <f>M11/244.753*(24/23)</f>
        <v>0.08720926669402537</v>
      </c>
      <c r="O11" s="10">
        <f>(L11-L10)/L10</f>
        <v>-0.05813953488372089</v>
      </c>
      <c r="P11" s="11">
        <f>L11/0.08523</f>
        <v>1.0000081111745511</v>
      </c>
      <c r="Q11" s="11">
        <f>L11/0.075055</f>
        <v>1.1355764614670174</v>
      </c>
      <c r="R11" s="4">
        <f>(C11*J11/240)/G11</f>
        <v>11.466666666666667</v>
      </c>
      <c r="S11" s="18">
        <f>R11/0.2447529*(24/23)</f>
        <v>48.88692796409909</v>
      </c>
      <c r="T11" s="42">
        <f>1/R11</f>
        <v>0.0872093023255814</v>
      </c>
      <c r="U11" s="42">
        <f>T11/2</f>
        <v>0.0436046511627907</v>
      </c>
    </row>
    <row r="12" spans="1:21" ht="12.75">
      <c r="A12" s="40" t="s">
        <v>87</v>
      </c>
      <c r="B12" t="s">
        <v>157</v>
      </c>
      <c r="C12" s="39">
        <v>86</v>
      </c>
      <c r="D12" s="43">
        <f>244.7529/C12</f>
        <v>2.845963953488372</v>
      </c>
      <c r="E12">
        <v>4</v>
      </c>
      <c r="F12">
        <v>12</v>
      </c>
      <c r="G12" s="2">
        <f>(E12/12)+(F12/24/12)</f>
        <v>0.375</v>
      </c>
      <c r="H12" s="3">
        <f>G12*(23/24)</f>
        <v>0.359375</v>
      </c>
      <c r="I12" s="2">
        <f>(244.7529/C12)*H12</f>
        <v>1.0227682957848838</v>
      </c>
      <c r="J12">
        <v>12</v>
      </c>
      <c r="K12" s="37">
        <f>J12/240</f>
        <v>0.05</v>
      </c>
      <c r="L12" s="3">
        <f>I12/J12</f>
        <v>0.08523069131540699</v>
      </c>
      <c r="M12" s="39">
        <f>L12*240</f>
        <v>20.455365915697676</v>
      </c>
      <c r="N12" s="45">
        <f>M12/244.753*(24/23)</f>
        <v>0.08720926669402537</v>
      </c>
      <c r="O12" s="10">
        <f>(L12-L11)/L11</f>
        <v>0</v>
      </c>
      <c r="P12" s="11">
        <f>L12/0.08523</f>
        <v>1.0000081111745511</v>
      </c>
      <c r="Q12" s="11">
        <f>L12/0.075055</f>
        <v>1.1355764614670174</v>
      </c>
      <c r="R12" s="4">
        <f>(C12*J12/240)/G12</f>
        <v>11.466666666666667</v>
      </c>
      <c r="S12" s="18">
        <f>R12/0.2447529*(24/23)</f>
        <v>48.88692796409909</v>
      </c>
      <c r="T12" s="42">
        <f>1/R12</f>
        <v>0.0872093023255814</v>
      </c>
      <c r="U12" s="42">
        <f>T12/2</f>
        <v>0.0436046511627907</v>
      </c>
    </row>
    <row r="13" spans="1:21" ht="12.75">
      <c r="A13" s="40" t="s">
        <v>31</v>
      </c>
      <c r="B13" t="s">
        <v>158</v>
      </c>
      <c r="C13" s="39">
        <v>45</v>
      </c>
      <c r="D13" s="43">
        <f>244.7529/C13</f>
        <v>5.438953333333334</v>
      </c>
      <c r="E13">
        <v>6</v>
      </c>
      <c r="F13">
        <v>0</v>
      </c>
      <c r="G13" s="2">
        <f>(E13/12)+(F13/24/12)</f>
        <v>0.5</v>
      </c>
      <c r="H13" s="3">
        <f>G13*(23/24)</f>
        <v>0.4791666666666667</v>
      </c>
      <c r="I13" s="2">
        <f>(244.7529/C13)*H13</f>
        <v>2.606165138888889</v>
      </c>
      <c r="J13">
        <v>30</v>
      </c>
      <c r="K13" s="37">
        <f>J13/240</f>
        <v>0.125</v>
      </c>
      <c r="L13" s="3">
        <f>I13/J13</f>
        <v>0.0868721712962963</v>
      </c>
      <c r="M13" s="39">
        <f>L13*240</f>
        <v>20.849321111111113</v>
      </c>
      <c r="N13" s="45">
        <f>M13/244.753*(24/23)</f>
        <v>0.08888885257109551</v>
      </c>
      <c r="O13" s="10">
        <f>(L13-L12)/L12</f>
        <v>0.01925925925925921</v>
      </c>
      <c r="P13" s="11">
        <f>L13/0.08523</f>
        <v>1.0192675266490239</v>
      </c>
      <c r="Q13" s="11">
        <f>L13/0.075055</f>
        <v>1.1574468229471229</v>
      </c>
      <c r="R13" s="4">
        <f>(C13*J13/240)/G13</f>
        <v>11.25</v>
      </c>
      <c r="S13" s="18">
        <f>R13/0.2447529*(24/23)</f>
        <v>47.963192406637916</v>
      </c>
      <c r="T13" s="42">
        <f>1/R13</f>
        <v>0.08888888888888889</v>
      </c>
      <c r="U13" s="42">
        <f>T13/2</f>
        <v>0.044444444444444446</v>
      </c>
    </row>
    <row r="14" spans="1:21" ht="12.75">
      <c r="A14" s="40" t="s">
        <v>31</v>
      </c>
      <c r="B14" t="s">
        <v>113</v>
      </c>
      <c r="C14" s="39">
        <v>68</v>
      </c>
      <c r="D14" s="43">
        <f>244.7529/C14</f>
        <v>3.5993073529411768</v>
      </c>
      <c r="E14">
        <v>4</v>
      </c>
      <c r="F14">
        <v>12</v>
      </c>
      <c r="G14" s="2">
        <f>(E14/12)+(F14/24/12)</f>
        <v>0.375</v>
      </c>
      <c r="H14" s="3">
        <f>G14*(23/24)</f>
        <v>0.359375</v>
      </c>
      <c r="I14" s="2">
        <f>(244.7529/C14)*H14</f>
        <v>1.2935010799632354</v>
      </c>
      <c r="J14">
        <v>15</v>
      </c>
      <c r="K14" s="37">
        <f>J14/240</f>
        <v>0.0625</v>
      </c>
      <c r="L14" s="3">
        <f>I14/J14</f>
        <v>0.08623340533088236</v>
      </c>
      <c r="M14" s="39">
        <f>L14*240</f>
        <v>20.696017279411766</v>
      </c>
      <c r="N14" s="45">
        <f>M14/244.753*(24/23)</f>
        <v>0.08823525806689626</v>
      </c>
      <c r="O14" s="10">
        <f>(L14-L13)/L13</f>
        <v>-0.00735294117647058</v>
      </c>
      <c r="P14" s="11">
        <f>L14/0.08523</f>
        <v>1.011772912482487</v>
      </c>
      <c r="Q14" s="11">
        <f>L14/0.075055</f>
        <v>1.1489361845430999</v>
      </c>
      <c r="R14" s="4">
        <f>(C14*J14/240)/G14</f>
        <v>11.333333333333334</v>
      </c>
      <c r="S14" s="18">
        <f>R14/0.2447529*(24/23)</f>
        <v>48.31847531335375</v>
      </c>
      <c r="T14" s="42">
        <f>1/R14</f>
        <v>0.08823529411764705</v>
      </c>
      <c r="U14" s="42">
        <f>T14/2</f>
        <v>0.044117647058823525</v>
      </c>
    </row>
    <row r="15" spans="1:21" ht="12.75">
      <c r="A15" s="40" t="s">
        <v>31</v>
      </c>
      <c r="B15" t="s">
        <v>194</v>
      </c>
      <c r="C15" s="39">
        <v>92</v>
      </c>
      <c r="D15" s="43">
        <f>244.7529/C15</f>
        <v>2.6603576086956524</v>
      </c>
      <c r="E15">
        <v>4</v>
      </c>
      <c r="F15">
        <v>0</v>
      </c>
      <c r="G15" s="2">
        <f>(E15/12)+(F15/24/12)</f>
        <v>0.3333333333333333</v>
      </c>
      <c r="H15" s="3">
        <f>G15*(23/24)</f>
        <v>0.3194444444444444</v>
      </c>
      <c r="I15" s="2">
        <f>(244.7529/C15)*H15</f>
        <v>0.8498364583333333</v>
      </c>
      <c r="J15">
        <v>10</v>
      </c>
      <c r="K15" s="37">
        <f>J15/240</f>
        <v>0.041666666666666664</v>
      </c>
      <c r="L15" s="3">
        <f>I15/J15</f>
        <v>0.08498364583333333</v>
      </c>
      <c r="M15" s="39">
        <f>L15*240</f>
        <v>20.396075</v>
      </c>
      <c r="N15" s="45">
        <f>M15/244.753*(24/23)</f>
        <v>0.08695648621085428</v>
      </c>
      <c r="O15" s="10">
        <f>(L15-L14)/L14</f>
        <v>-0.014492753623188557</v>
      </c>
      <c r="P15" s="11">
        <f>L15/0.08523</f>
        <v>0.9971095369392623</v>
      </c>
      <c r="Q15" s="11">
        <f>L15/0.075055</f>
        <v>1.1322849354917506</v>
      </c>
      <c r="R15" s="4">
        <f>(C15*J15/240)/G15</f>
        <v>11.500000000000002</v>
      </c>
      <c r="S15" s="18">
        <f>R15/0.2447529*(24/23)</f>
        <v>49.02904112678543</v>
      </c>
      <c r="T15" s="42">
        <f>1/R15</f>
        <v>0.08695652173913042</v>
      </c>
      <c r="U15" s="42">
        <f>T15/2</f>
        <v>0.04347826086956521</v>
      </c>
    </row>
    <row r="16" spans="1:21" ht="12.75">
      <c r="A16" s="40" t="s">
        <v>33</v>
      </c>
      <c r="B16" t="s">
        <v>231</v>
      </c>
      <c r="C16" s="39">
        <v>25.5</v>
      </c>
      <c r="D16" s="43">
        <f>244.7529/C16</f>
        <v>9.59815294117647</v>
      </c>
      <c r="E16">
        <v>11</v>
      </c>
      <c r="F16">
        <v>18</v>
      </c>
      <c r="G16" s="2">
        <f>(E16/12)+(F16/24/12)</f>
        <v>0.9791666666666666</v>
      </c>
      <c r="H16" s="3">
        <f>G16*(23/24)</f>
        <v>0.9383680555555556</v>
      </c>
      <c r="I16" s="2">
        <f>(244.7529/C16)*H16</f>
        <v>9.006600112336601</v>
      </c>
      <c r="J16">
        <v>120</v>
      </c>
      <c r="K16" s="37">
        <f>J16/240</f>
        <v>0.5</v>
      </c>
      <c r="L16" s="3">
        <f>I16/J16</f>
        <v>0.07505500093613834</v>
      </c>
      <c r="M16" s="39">
        <f>L16*240</f>
        <v>18.013200224673202</v>
      </c>
      <c r="N16" s="45">
        <f>M16/244.753*(24/23)</f>
        <v>0.07679735424340971</v>
      </c>
      <c r="O16" s="10">
        <f>(L16-L15)/L15</f>
        <v>-0.11683006535947708</v>
      </c>
      <c r="P16" s="11">
        <f>L16/0.08523</f>
        <v>0.8806171645680904</v>
      </c>
      <c r="Q16" s="11">
        <f>L16/0.075055</f>
        <v>1.000000012472698</v>
      </c>
      <c r="R16" s="4">
        <f>(C16*J16/240)/G16</f>
        <v>13.02127659574468</v>
      </c>
      <c r="S16" s="18">
        <f>R16/0.2447529*(24/23)</f>
        <v>55.51484397704473</v>
      </c>
      <c r="T16" s="42">
        <f>1/R16</f>
        <v>0.07679738562091504</v>
      </c>
      <c r="U16" s="42">
        <f>T16/2</f>
        <v>0.03839869281045752</v>
      </c>
    </row>
    <row r="17" spans="1:21" ht="12.75">
      <c r="A17" s="40" t="s">
        <v>89</v>
      </c>
      <c r="B17" t="s">
        <v>231</v>
      </c>
      <c r="C17" s="39">
        <v>25.5</v>
      </c>
      <c r="D17" s="43">
        <f>244.7529/C17</f>
        <v>9.59815294117647</v>
      </c>
      <c r="E17">
        <v>11</v>
      </c>
      <c r="F17">
        <v>18</v>
      </c>
      <c r="G17" s="2">
        <f>(E17/12)+(F17/24/12)</f>
        <v>0.9791666666666666</v>
      </c>
      <c r="H17" s="3">
        <f>G17*(23/24)</f>
        <v>0.9383680555555556</v>
      </c>
      <c r="I17" s="2">
        <f>(244.7529/C17)*H17</f>
        <v>9.006600112336601</v>
      </c>
      <c r="J17">
        <v>120</v>
      </c>
      <c r="K17" s="37">
        <f>J17/240</f>
        <v>0.5</v>
      </c>
      <c r="L17" s="3">
        <f>I17/J17</f>
        <v>0.07505500093613834</v>
      </c>
      <c r="M17" s="39">
        <f>L17*240</f>
        <v>18.013200224673202</v>
      </c>
      <c r="N17" s="45">
        <f>M17/244.753*(24/23)</f>
        <v>0.07679735424340971</v>
      </c>
      <c r="O17" s="10">
        <f>(L17-L16)/L16</f>
        <v>0</v>
      </c>
      <c r="P17" s="11">
        <f>L17/0.08523</f>
        <v>0.8806171645680904</v>
      </c>
      <c r="Q17" s="11">
        <f>L17/0.075055</f>
        <v>1.000000012472698</v>
      </c>
      <c r="R17" s="4">
        <f>(C17*J17/240)/G17</f>
        <v>13.02127659574468</v>
      </c>
      <c r="S17" s="18">
        <f>R17/0.2447529*(24/23)</f>
        <v>55.51484397704473</v>
      </c>
      <c r="T17" s="42">
        <f>1/R17</f>
        <v>0.07679738562091504</v>
      </c>
      <c r="U17" s="42">
        <f>T17/2</f>
        <v>0.03839869281045752</v>
      </c>
    </row>
    <row r="18" spans="1:21" ht="12.75">
      <c r="A18" s="40" t="s">
        <v>89</v>
      </c>
      <c r="B18" t="s">
        <v>103</v>
      </c>
      <c r="C18" s="39">
        <v>86</v>
      </c>
      <c r="D18" s="43">
        <f>244.7529/C18</f>
        <v>2.845963953488372</v>
      </c>
      <c r="E18">
        <v>4</v>
      </c>
      <c r="F18">
        <v>12</v>
      </c>
      <c r="G18" s="2">
        <f>(E18/12)+(F18/24/12)</f>
        <v>0.375</v>
      </c>
      <c r="H18" s="3">
        <f>G18*(23/24)</f>
        <v>0.359375</v>
      </c>
      <c r="I18" s="2">
        <f>(244.7529/C18)*H18</f>
        <v>1.0227682957848838</v>
      </c>
      <c r="J18">
        <v>12</v>
      </c>
      <c r="K18" s="37">
        <f>J18/240</f>
        <v>0.05</v>
      </c>
      <c r="L18" s="3">
        <f>I18/J18</f>
        <v>0.08523069131540699</v>
      </c>
      <c r="M18" s="39">
        <f>L18*240</f>
        <v>20.455365915697676</v>
      </c>
      <c r="N18" s="45">
        <f>M18/244.753*(24/23)</f>
        <v>0.08720926669402537</v>
      </c>
      <c r="O18" s="10">
        <f>(L18-L17)/L17</f>
        <v>0.13557644730331536</v>
      </c>
      <c r="P18" s="11">
        <f>L18/0.08523</f>
        <v>1.0000081111745511</v>
      </c>
      <c r="Q18" s="11">
        <f>L18/0.075055</f>
        <v>1.1355764614670174</v>
      </c>
      <c r="R18" s="4">
        <f>(C18*J18/240)/G18</f>
        <v>11.466666666666667</v>
      </c>
      <c r="S18" s="18">
        <f>R18/0.2447529*(24/23)</f>
        <v>48.88692796409909</v>
      </c>
      <c r="T18" s="42">
        <f>1/R18</f>
        <v>0.0872093023255814</v>
      </c>
      <c r="U18" s="42">
        <f>T18/2</f>
        <v>0.0436046511627907</v>
      </c>
    </row>
    <row r="19" spans="1:21" ht="12.75">
      <c r="A19" s="40" t="s">
        <v>88</v>
      </c>
      <c r="B19" t="s">
        <v>103</v>
      </c>
      <c r="C19" s="39">
        <v>92</v>
      </c>
      <c r="D19" s="43">
        <f>244.7529/C19</f>
        <v>2.6603576086956524</v>
      </c>
      <c r="E19">
        <v>4</v>
      </c>
      <c r="F19">
        <v>6</v>
      </c>
      <c r="G19" s="2">
        <f>(E19/12)+(F19/24/12)</f>
        <v>0.35416666666666663</v>
      </c>
      <c r="H19" s="3">
        <f>G19*(23/24)</f>
        <v>0.3394097222222222</v>
      </c>
      <c r="I19" s="2">
        <f>(244.7529/C19)*H19</f>
        <v>0.9029512369791667</v>
      </c>
      <c r="J19">
        <v>12</v>
      </c>
      <c r="K19" s="37">
        <f>J19/240</f>
        <v>0.05</v>
      </c>
      <c r="L19" s="3">
        <f>I19/J19</f>
        <v>0.07524593641493056</v>
      </c>
      <c r="M19" s="39">
        <f>L19*240</f>
        <v>18.059024739583336</v>
      </c>
      <c r="N19" s="45">
        <f>M19/244.753*(24/23)</f>
        <v>0.07699272216586057</v>
      </c>
      <c r="O19" s="10">
        <f>(L19-L18)/L18</f>
        <v>-0.11714975845410634</v>
      </c>
      <c r="P19" s="11">
        <f>L19/0.08523</f>
        <v>0.8828574024983054</v>
      </c>
      <c r="Q19" s="11">
        <f>L19/0.075055</f>
        <v>1.0025439532999876</v>
      </c>
      <c r="R19" s="4">
        <f>(C19*J19/240)/G19</f>
        <v>12.988235294117647</v>
      </c>
      <c r="S19" s="18">
        <f>R19/0.2447529*(24/23)</f>
        <v>55.373975860840005</v>
      </c>
      <c r="T19" s="42">
        <f>1/R19</f>
        <v>0.0769927536231884</v>
      </c>
      <c r="U19" s="42">
        <f>T19/2</f>
        <v>0.0384963768115942</v>
      </c>
    </row>
    <row r="20" spans="1:21" ht="12.75">
      <c r="A20" s="40" t="s">
        <v>88</v>
      </c>
      <c r="B20" t="s">
        <v>117</v>
      </c>
      <c r="C20" s="39">
        <v>98</v>
      </c>
      <c r="D20" s="43">
        <f>244.7529/C20</f>
        <v>2.4974785714285717</v>
      </c>
      <c r="E20">
        <v>3</v>
      </c>
      <c r="F20">
        <v>18</v>
      </c>
      <c r="G20" s="2">
        <f>(E20/12)+(F20/24/12)</f>
        <v>0.3125</v>
      </c>
      <c r="H20" s="3">
        <f>G20*(23/24)</f>
        <v>0.2994791666666667</v>
      </c>
      <c r="I20" s="2">
        <f>(244.7529/C20)*H20</f>
        <v>0.7479428013392858</v>
      </c>
      <c r="J20">
        <v>10</v>
      </c>
      <c r="K20" s="37">
        <f>J20/240</f>
        <v>0.041666666666666664</v>
      </c>
      <c r="L20" s="3">
        <f>I20/J20</f>
        <v>0.07479428013392858</v>
      </c>
      <c r="M20" s="39">
        <f>L20*240</f>
        <v>17.95062723214286</v>
      </c>
      <c r="N20" s="45">
        <f>M20/244.753*(24/23)</f>
        <v>0.07653058097638962</v>
      </c>
      <c r="O20" s="10">
        <f>(L20-L19)/L19</f>
        <v>-0.006002400960384103</v>
      </c>
      <c r="P20" s="11">
        <f>L20/0.08523</f>
        <v>0.8775581383776673</v>
      </c>
      <c r="Q20" s="11">
        <f>L20/0.075055</f>
        <v>0.9965262825118725</v>
      </c>
      <c r="R20" s="4">
        <f>(C20*J20/240)/G20</f>
        <v>13.066666666666666</v>
      </c>
      <c r="S20" s="18">
        <f>R20/0.2447529*(24/23)</f>
        <v>55.70835977304315</v>
      </c>
      <c r="T20" s="42">
        <f>1/R20</f>
        <v>0.07653061224489796</v>
      </c>
      <c r="U20" s="42">
        <f>T20/2</f>
        <v>0.03826530612244898</v>
      </c>
    </row>
    <row r="21" spans="1:21" ht="12.75">
      <c r="A21" s="40" t="s">
        <v>36</v>
      </c>
      <c r="B21" t="s">
        <v>231</v>
      </c>
      <c r="C21" s="39">
        <v>25.5</v>
      </c>
      <c r="D21" s="43">
        <f>244.7529/C21</f>
        <v>9.59815294117647</v>
      </c>
      <c r="E21">
        <v>11</v>
      </c>
      <c r="F21">
        <v>6</v>
      </c>
      <c r="G21" s="2">
        <f>(E21/12)+(F21/24/12)</f>
        <v>0.9375</v>
      </c>
      <c r="H21" s="3">
        <f>G21*(23/24)</f>
        <v>0.8984375</v>
      </c>
      <c r="I21" s="2">
        <f>(244.7529/C21)*H21</f>
        <v>8.623340533088236</v>
      </c>
      <c r="J21">
        <v>120</v>
      </c>
      <c r="K21" s="37">
        <f>J21/240</f>
        <v>0.5</v>
      </c>
      <c r="L21" s="3">
        <f>I21/J21</f>
        <v>0.07186117110906863</v>
      </c>
      <c r="M21" s="39">
        <f>L21*240</f>
        <v>17.24668106617647</v>
      </c>
      <c r="N21" s="45">
        <f>M21/244.753*(24/23)</f>
        <v>0.07352938172241355</v>
      </c>
      <c r="O21" s="10">
        <f>(L21-L20)/L20</f>
        <v>-0.03921568627450989</v>
      </c>
      <c r="P21" s="11">
        <f>L21/0.08523</f>
        <v>0.8431440937354058</v>
      </c>
      <c r="Q21" s="11">
        <f>L21/0.075055</f>
        <v>0.9574468204525832</v>
      </c>
      <c r="R21" s="4">
        <f>(C21*J21/240)/G21</f>
        <v>13.6</v>
      </c>
      <c r="S21" s="18">
        <f>R21/0.2447529*(24/23)</f>
        <v>57.9821703760245</v>
      </c>
      <c r="T21" s="42">
        <f>1/R21</f>
        <v>0.07352941176470588</v>
      </c>
      <c r="U21" s="42">
        <f>T21/2</f>
        <v>0.03676470588235294</v>
      </c>
    </row>
    <row r="22" spans="1:21" ht="12.75">
      <c r="A22" s="40" t="s">
        <v>92</v>
      </c>
      <c r="B22" t="s">
        <v>120</v>
      </c>
      <c r="C22" s="39">
        <v>92</v>
      </c>
      <c r="D22" s="43">
        <f>244.7529/C22</f>
        <v>2.6603576086956524</v>
      </c>
      <c r="E22">
        <v>4</v>
      </c>
      <c r="F22">
        <v>4</v>
      </c>
      <c r="G22" s="2">
        <f>(E22/12)+(F22/24/12)</f>
        <v>0.3472222222222222</v>
      </c>
      <c r="H22" s="3">
        <f>G22*(23/24)</f>
        <v>0.33275462962962965</v>
      </c>
      <c r="I22" s="2">
        <f>(244.7529/C22)*H22</f>
        <v>0.885246310763889</v>
      </c>
      <c r="J22">
        <v>12</v>
      </c>
      <c r="K22" s="37">
        <f>J22/240</f>
        <v>0.05</v>
      </c>
      <c r="L22" s="3">
        <f>I22/J22</f>
        <v>0.07377052589699075</v>
      </c>
      <c r="M22" s="39">
        <f>L22*240</f>
        <v>17.70492621527778</v>
      </c>
      <c r="N22" s="45">
        <f>M22/244.753*(24/23)</f>
        <v>0.07548306094692213</v>
      </c>
      <c r="O22" s="10">
        <f>(L22-L21)/L21</f>
        <v>0.026570048309178813</v>
      </c>
      <c r="P22" s="11">
        <f>L22/0.08523</f>
        <v>0.8655464730375543</v>
      </c>
      <c r="Q22" s="11">
        <f>L22/0.075055</f>
        <v>0.982886228725478</v>
      </c>
      <c r="R22" s="4">
        <f>(C22*J22/240)/G22</f>
        <v>13.248</v>
      </c>
      <c r="S22" s="18">
        <f>R22/0.2447529*(24/23)</f>
        <v>56.4814553780568</v>
      </c>
      <c r="T22" s="42">
        <f>1/R22</f>
        <v>0.07548309178743962</v>
      </c>
      <c r="U22" s="42">
        <f>T22/2</f>
        <v>0.03774154589371981</v>
      </c>
    </row>
    <row r="23" spans="1:21" ht="12.75">
      <c r="A23" s="40" t="s">
        <v>86</v>
      </c>
      <c r="B23" t="s">
        <v>118</v>
      </c>
      <c r="C23" s="39">
        <v>91</v>
      </c>
      <c r="D23" s="43">
        <f>244.7529/C23</f>
        <v>2.689592307692308</v>
      </c>
      <c r="E23">
        <v>3</v>
      </c>
      <c r="F23">
        <v>16</v>
      </c>
      <c r="G23" s="2">
        <f>(E23/12)+(F23/24/12)</f>
        <v>0.3055555555555556</v>
      </c>
      <c r="H23" s="3">
        <f>G23*(23/24)</f>
        <v>0.2928240740740741</v>
      </c>
      <c r="I23" s="2">
        <f>(244.7529/C23)*H23</f>
        <v>0.7875773771367524</v>
      </c>
      <c r="J23">
        <v>12</v>
      </c>
      <c r="K23" s="37">
        <f>J23/240</f>
        <v>0.05</v>
      </c>
      <c r="L23" s="3">
        <f>I23/J23</f>
        <v>0.06563144809472936</v>
      </c>
      <c r="M23" s="39">
        <f>L23*240</f>
        <v>15.751547542735047</v>
      </c>
      <c r="N23" s="45">
        <f>M23/244.753*(24/23)</f>
        <v>0.0671550397171738</v>
      </c>
      <c r="O23" s="10">
        <f>(L23-L22)/L22</f>
        <v>-0.11032967032967024</v>
      </c>
      <c r="P23" s="11">
        <f>L23/0.08523</f>
        <v>0.7700510160123121</v>
      </c>
      <c r="Q23" s="11">
        <f>L23/0.075055</f>
        <v>0.8744447151386232</v>
      </c>
      <c r="R23" s="4">
        <f>(C23*J23/240)/G23</f>
        <v>14.890909090909089</v>
      </c>
      <c r="S23" s="18">
        <f>R23/0.2447529*(24/23)</f>
        <v>63.48582558551345</v>
      </c>
      <c r="T23" s="42">
        <f>1/R23</f>
        <v>0.06715506715506717</v>
      </c>
      <c r="U23" s="42">
        <f>T23/2</f>
        <v>0.03357753357753358</v>
      </c>
    </row>
    <row r="24" spans="1:21" ht="12.75">
      <c r="A24" s="40" t="s">
        <v>5</v>
      </c>
      <c r="B24" t="s">
        <v>231</v>
      </c>
      <c r="C24" s="39">
        <v>25.5</v>
      </c>
      <c r="D24" s="43">
        <f>244.7529/C24</f>
        <v>9.59815294117647</v>
      </c>
      <c r="E24">
        <v>11</v>
      </c>
      <c r="F24">
        <v>6</v>
      </c>
      <c r="G24" s="2">
        <f>(E24/12)+(F24/24/12)</f>
        <v>0.9375</v>
      </c>
      <c r="H24" s="3">
        <f>G24*(23/24)</f>
        <v>0.8984375</v>
      </c>
      <c r="I24" s="2">
        <f>(244.7529/C24)*H24</f>
        <v>8.623340533088236</v>
      </c>
      <c r="J24">
        <v>132</v>
      </c>
      <c r="K24" s="37">
        <f>J24/240</f>
        <v>0.55</v>
      </c>
      <c r="L24" s="3">
        <f>I24/J24</f>
        <v>0.06532833737188057</v>
      </c>
      <c r="M24" s="39">
        <f>L24*240</f>
        <v>15.678800969251336</v>
      </c>
      <c r="N24" s="45">
        <f>M24/244.753*(24/23)</f>
        <v>0.06684489247492141</v>
      </c>
      <c r="O24" s="10">
        <f>(L24-L23)/L23</f>
        <v>-0.004618376276130525</v>
      </c>
      <c r="P24" s="11">
        <f>L24/0.08523</f>
        <v>0.7664946306685506</v>
      </c>
      <c r="Q24" s="11">
        <f>L24/0.075055</f>
        <v>0.8704062004114392</v>
      </c>
      <c r="R24" s="4">
        <f>(C24*J24/240)/G24</f>
        <v>14.96</v>
      </c>
      <c r="S24" s="18">
        <f>R24/0.2447529*(24/23)</f>
        <v>63.780387413626954</v>
      </c>
      <c r="T24" s="42">
        <f>1/R24</f>
        <v>0.06684491978609625</v>
      </c>
      <c r="U24" s="42">
        <f>T24/2</f>
        <v>0.03342245989304812</v>
      </c>
    </row>
    <row r="25" spans="1:21" ht="12.75">
      <c r="A25" s="40" t="s">
        <v>99</v>
      </c>
      <c r="B25" t="s">
        <v>118</v>
      </c>
      <c r="C25" s="39">
        <v>94</v>
      </c>
      <c r="D25" s="43">
        <f>244.7529/C25</f>
        <v>2.603754255319149</v>
      </c>
      <c r="E25">
        <v>3</v>
      </c>
      <c r="F25">
        <v>16</v>
      </c>
      <c r="G25" s="2">
        <f>(E25/12)+(F25/24/12)</f>
        <v>0.3055555555555556</v>
      </c>
      <c r="H25" s="3">
        <f>G25*(23/24)</f>
        <v>0.2928240740740741</v>
      </c>
      <c r="I25" s="2">
        <f>(244.7529/C25)*H25</f>
        <v>0.7624419289302602</v>
      </c>
      <c r="J25">
        <v>12</v>
      </c>
      <c r="K25" s="37">
        <f>J25/240</f>
        <v>0.05</v>
      </c>
      <c r="L25" s="3">
        <f>I25/J25</f>
        <v>0.06353682741085502</v>
      </c>
      <c r="M25" s="39">
        <f>L25*240</f>
        <v>15.248838578605206</v>
      </c>
      <c r="N25" s="45">
        <f>M25/244.753*(24/23)</f>
        <v>0.06501179376875336</v>
      </c>
      <c r="O25" s="10">
        <f>(L25-L24)/L24</f>
        <v>-0.027423167848699474</v>
      </c>
      <c r="P25" s="11">
        <f>L25/0.08523</f>
        <v>0.7454749197566001</v>
      </c>
      <c r="Q25" s="11">
        <f>L25/0.075055</f>
        <v>0.8465369050810075</v>
      </c>
      <c r="R25" s="4">
        <f>(C25*J25/240)/G25</f>
        <v>15.381818181818181</v>
      </c>
      <c r="S25" s="18">
        <f>R25/0.2447529*(24/23)</f>
        <v>65.57876489053038</v>
      </c>
      <c r="T25" s="42">
        <f>1/R25</f>
        <v>0.06501182033096928</v>
      </c>
      <c r="U25" s="42">
        <f>T25/2</f>
        <v>0.03250591016548464</v>
      </c>
    </row>
    <row r="26" spans="1:21" ht="12.75">
      <c r="A26" s="40" t="s">
        <v>99</v>
      </c>
      <c r="B26" t="s">
        <v>231</v>
      </c>
      <c r="C26" s="39">
        <v>25.5</v>
      </c>
      <c r="D26" s="43">
        <f>244.7529/C26</f>
        <v>9.59815294117647</v>
      </c>
      <c r="E26">
        <v>11</v>
      </c>
      <c r="F26">
        <v>6</v>
      </c>
      <c r="G26" s="2">
        <f>(E26/12)+(F26/24/12)</f>
        <v>0.9375</v>
      </c>
      <c r="H26" s="3">
        <f>G26*(23/24)</f>
        <v>0.8984375</v>
      </c>
      <c r="I26" s="2">
        <f>(244.7529/C26)*H26</f>
        <v>8.623340533088236</v>
      </c>
      <c r="J26">
        <v>136</v>
      </c>
      <c r="K26" s="37">
        <f>J26/240</f>
        <v>0.5666666666666667</v>
      </c>
      <c r="L26" s="3">
        <f>I26/J26</f>
        <v>0.06340691568447232</v>
      </c>
      <c r="M26" s="39">
        <f>L26*240</f>
        <v>15.217659764273357</v>
      </c>
      <c r="N26" s="45">
        <f>M26/244.753*(24/23)</f>
        <v>0.06487886622565901</v>
      </c>
      <c r="O26" s="10">
        <f>(L26-L25)/L25</f>
        <v>-0.0020446681346337654</v>
      </c>
      <c r="P26" s="11">
        <f>L26/0.08523</f>
        <v>0.743950670943005</v>
      </c>
      <c r="Q26" s="11">
        <f>L26/0.075055</f>
        <v>0.844806018046397</v>
      </c>
      <c r="R26" s="4">
        <f>(C26*J26/240)/G26</f>
        <v>15.413333333333332</v>
      </c>
      <c r="S26" s="18">
        <f>R26/0.2447529*(24/23)</f>
        <v>65.7131264261611</v>
      </c>
      <c r="T26" s="42">
        <f>1/R26</f>
        <v>0.06487889273356402</v>
      </c>
      <c r="U26" s="42">
        <f>T26/2</f>
        <v>0.03243944636678201</v>
      </c>
    </row>
    <row r="27" spans="1:21" ht="12.75">
      <c r="A27" s="40" t="s">
        <v>95</v>
      </c>
      <c r="B27" t="s">
        <v>161</v>
      </c>
      <c r="C27" s="39">
        <v>41</v>
      </c>
      <c r="D27" s="43">
        <f>244.7529/C27</f>
        <v>5.969582926829268</v>
      </c>
      <c r="E27">
        <v>4</v>
      </c>
      <c r="F27">
        <v>0</v>
      </c>
      <c r="G27" s="2">
        <f>(E27/12)+(F27/24/12)</f>
        <v>0.3333333333333333</v>
      </c>
      <c r="H27" s="3">
        <f>G27*(23/24)</f>
        <v>0.3194444444444444</v>
      </c>
      <c r="I27" s="2">
        <f>(244.7529/C27)*H27</f>
        <v>1.9069501016260162</v>
      </c>
      <c r="J27">
        <v>30</v>
      </c>
      <c r="K27" s="37">
        <f>J27/240</f>
        <v>0.125</v>
      </c>
      <c r="L27" s="3">
        <f>I27/J27</f>
        <v>0.06356500338753387</v>
      </c>
      <c r="M27" s="39">
        <f>L27*240</f>
        <v>15.25560081300813</v>
      </c>
      <c r="N27" s="45">
        <f>M27/244.753*(24/23)</f>
        <v>0.06504062383250889</v>
      </c>
      <c r="O27" s="10">
        <f>(L27-L26)/L26</f>
        <v>0.0024932249322492848</v>
      </c>
      <c r="P27" s="11">
        <f>L27/0.08523</f>
        <v>0.7458055073041637</v>
      </c>
      <c r="Q27" s="11">
        <f>L27/0.075055</f>
        <v>0.8469123094735045</v>
      </c>
      <c r="R27" s="4">
        <f>(C27*J27/240)/G27</f>
        <v>15.375</v>
      </c>
      <c r="S27" s="18">
        <f>R27/0.2447529*(24/23)</f>
        <v>65.54969628907182</v>
      </c>
      <c r="T27" s="42">
        <f>1/R27</f>
        <v>0.06504065040650407</v>
      </c>
      <c r="U27" s="42">
        <f>T27/2</f>
        <v>0.032520325203252036</v>
      </c>
    </row>
    <row r="28" spans="1:21" ht="12.75">
      <c r="A28" s="40" t="s">
        <v>97</v>
      </c>
      <c r="B28" t="s">
        <v>231</v>
      </c>
      <c r="C28" s="39">
        <v>25.5</v>
      </c>
      <c r="D28" s="43">
        <f>244.7529/C28</f>
        <v>9.59815294117647</v>
      </c>
      <c r="E28">
        <v>11</v>
      </c>
      <c r="F28">
        <v>6</v>
      </c>
      <c r="G28" s="2">
        <f>(E28/12)+(F28/24/12)</f>
        <v>0.9375</v>
      </c>
      <c r="H28" s="3">
        <f>G28*(23/24)</f>
        <v>0.8984375</v>
      </c>
      <c r="I28" s="2">
        <f>(244.7529/C28)*H28</f>
        <v>8.623340533088236</v>
      </c>
      <c r="J28">
        <v>144</v>
      </c>
      <c r="K28" s="37">
        <f>J28/240</f>
        <v>0.6</v>
      </c>
      <c r="L28" s="3">
        <f>I28/J28</f>
        <v>0.059884309257557194</v>
      </c>
      <c r="M28" s="39">
        <f>L28*240</f>
        <v>14.372234221813727</v>
      </c>
      <c r="N28" s="45">
        <f>M28/244.753*(24/23)</f>
        <v>0.061274484768677966</v>
      </c>
      <c r="O28" s="10">
        <f>(L28-L27)/L27</f>
        <v>-0.0579044117647058</v>
      </c>
      <c r="P28" s="11">
        <f>L28/0.08523</f>
        <v>0.7026200781128381</v>
      </c>
      <c r="Q28" s="11">
        <f>L28/0.075055</f>
        <v>0.7978723503771528</v>
      </c>
      <c r="R28" s="4">
        <f>(C28*J28/240)/G28</f>
        <v>16.32</v>
      </c>
      <c r="S28" s="18">
        <f>R28/0.2447529*(24/23)</f>
        <v>69.57860445122941</v>
      </c>
      <c r="T28" s="42">
        <f>1/R28</f>
        <v>0.061274509803921566</v>
      </c>
      <c r="U28" s="42">
        <f>T28/2</f>
        <v>0.030637254901960783</v>
      </c>
    </row>
    <row r="29" spans="1:21" ht="12.75">
      <c r="A29" s="40" t="s">
        <v>32</v>
      </c>
      <c r="B29" t="s">
        <v>159</v>
      </c>
      <c r="C29" s="39">
        <v>82</v>
      </c>
      <c r="D29" s="43">
        <f>244.7529/C29</f>
        <v>2.984791463414634</v>
      </c>
      <c r="E29">
        <v>4</v>
      </c>
      <c r="F29">
        <v>0</v>
      </c>
      <c r="G29" s="2">
        <f>(E29/12)+(F29/24/12)</f>
        <v>0.3333333333333333</v>
      </c>
      <c r="H29" s="3">
        <f>G29*(23/24)</f>
        <v>0.3194444444444444</v>
      </c>
      <c r="I29" s="2">
        <f>(244.7529/C29)*H29</f>
        <v>0.9534750508130081</v>
      </c>
      <c r="J29">
        <v>15</v>
      </c>
      <c r="K29" s="37">
        <f>J29/240</f>
        <v>0.0625</v>
      </c>
      <c r="L29" s="3">
        <f>I29/J29</f>
        <v>0.06356500338753387</v>
      </c>
      <c r="M29" s="39">
        <f>L29*240</f>
        <v>15.25560081300813</v>
      </c>
      <c r="N29" s="45">
        <f>M29/244.753*(24/23)</f>
        <v>0.06504062383250889</v>
      </c>
      <c r="O29" s="10">
        <f>(L29-L28)/L28</f>
        <v>0.06146341463414625</v>
      </c>
      <c r="P29" s="11">
        <f>L29/0.08523</f>
        <v>0.7458055073041637</v>
      </c>
      <c r="Q29" s="11">
        <f>L29/0.075055</f>
        <v>0.8469123094735045</v>
      </c>
      <c r="R29" s="4">
        <f>(C29*J29/240)/G29</f>
        <v>15.375</v>
      </c>
      <c r="S29" s="18">
        <f>R29/0.2447529*(24/23)</f>
        <v>65.54969628907182</v>
      </c>
      <c r="T29" s="42">
        <f>1/R29</f>
        <v>0.06504065040650407</v>
      </c>
      <c r="U29" s="42">
        <f>T29/2</f>
        <v>0.032520325203252036</v>
      </c>
    </row>
    <row r="30" spans="1:21" ht="12.75">
      <c r="A30" s="40" t="s">
        <v>6</v>
      </c>
      <c r="B30" t="s">
        <v>160</v>
      </c>
      <c r="C30" s="39">
        <v>41</v>
      </c>
      <c r="D30" s="43">
        <f>244.7529/C30</f>
        <v>5.969582926829268</v>
      </c>
      <c r="E30">
        <v>4</v>
      </c>
      <c r="F30">
        <v>0</v>
      </c>
      <c r="G30" s="2">
        <f>(E30/12)+(F30/24/12)</f>
        <v>0.3333333333333333</v>
      </c>
      <c r="H30" s="3">
        <f>G30*(23/24)</f>
        <v>0.3194444444444444</v>
      </c>
      <c r="I30" s="2">
        <f>(244.7529/C30)*H30</f>
        <v>1.9069501016260162</v>
      </c>
      <c r="J30">
        <v>30</v>
      </c>
      <c r="K30" s="37">
        <f>J30/240</f>
        <v>0.125</v>
      </c>
      <c r="L30" s="3">
        <f>I30/J30</f>
        <v>0.06356500338753387</v>
      </c>
      <c r="M30" s="39">
        <f>L30*240</f>
        <v>15.25560081300813</v>
      </c>
      <c r="N30" s="45">
        <f>M30/244.753*(24/23)</f>
        <v>0.06504062383250889</v>
      </c>
      <c r="O30" s="10">
        <f>(L30-L29)/L29</f>
        <v>0</v>
      </c>
      <c r="P30" s="11">
        <f>L30/0.08523</f>
        <v>0.7458055073041637</v>
      </c>
      <c r="Q30" s="11">
        <f>L30/0.075055</f>
        <v>0.8469123094735045</v>
      </c>
      <c r="R30" s="4">
        <f>(C30*J30/240)/G30</f>
        <v>15.375</v>
      </c>
      <c r="S30" s="18">
        <f>R30/0.2447529*(24/23)</f>
        <v>65.54969628907182</v>
      </c>
      <c r="T30" s="42">
        <f>1/R30</f>
        <v>0.06504065040650407</v>
      </c>
      <c r="U30" s="42">
        <f>T30/2</f>
        <v>0.032520325203252036</v>
      </c>
    </row>
    <row r="31" spans="1:21" ht="12.75">
      <c r="A31" s="40" t="s">
        <v>39</v>
      </c>
      <c r="B31" t="s">
        <v>118</v>
      </c>
      <c r="C31" s="39">
        <v>102</v>
      </c>
      <c r="D31" s="43">
        <f>244.7529/C31</f>
        <v>2.3995382352941177</v>
      </c>
      <c r="E31">
        <v>3</v>
      </c>
      <c r="F31">
        <v>16</v>
      </c>
      <c r="G31" s="2">
        <f>(E31/12)+(F31/24/12)</f>
        <v>0.3055555555555556</v>
      </c>
      <c r="H31" s="3">
        <f>G31*(23/24)</f>
        <v>0.2928240740740741</v>
      </c>
      <c r="I31" s="2">
        <f>(244.7529/C31)*H31</f>
        <v>0.7026425619553378</v>
      </c>
      <c r="J31">
        <v>12</v>
      </c>
      <c r="K31" s="37">
        <f>J31/240</f>
        <v>0.05</v>
      </c>
      <c r="L31" s="3">
        <f>I31/J31</f>
        <v>0.05855354682961148</v>
      </c>
      <c r="M31" s="39">
        <f>L31*240</f>
        <v>14.052851239106756</v>
      </c>
      <c r="N31" s="45">
        <f>M31/244.753*(24/23)</f>
        <v>0.059912829551596235</v>
      </c>
      <c r="O31" s="10">
        <f>(L31-L30)/L30</f>
        <v>-0.07883986928104562</v>
      </c>
      <c r="P31" s="11">
        <f>L31/0.08523</f>
        <v>0.6870062985992196</v>
      </c>
      <c r="Q31" s="11">
        <f>L31/0.075055</f>
        <v>0.7801418537021049</v>
      </c>
      <c r="R31" s="4">
        <f>(C31*J31/240)/G31</f>
        <v>16.690909090909088</v>
      </c>
      <c r="S31" s="18">
        <f>R31/0.2447529*(24/23)</f>
        <v>71.15993637057551</v>
      </c>
      <c r="T31" s="42">
        <f>1/R31</f>
        <v>0.0599128540305011</v>
      </c>
      <c r="U31" s="42">
        <f>T31/2</f>
        <v>0.02995642701525055</v>
      </c>
    </row>
    <row r="32" spans="1:21" ht="12.75">
      <c r="A32" s="40" t="s">
        <v>34</v>
      </c>
      <c r="B32" t="s">
        <v>231</v>
      </c>
      <c r="C32" s="39">
        <v>25.5</v>
      </c>
      <c r="D32" s="43">
        <f>244.7529/C32</f>
        <v>9.59815294117647</v>
      </c>
      <c r="E32">
        <v>11</v>
      </c>
      <c r="F32">
        <v>6</v>
      </c>
      <c r="G32" s="2">
        <f>(E32/12)+(F32/24/12)</f>
        <v>0.9375</v>
      </c>
      <c r="H32" s="3">
        <f>G32*(23/24)</f>
        <v>0.8984375</v>
      </c>
      <c r="I32" s="2">
        <f>(244.7529/C32)*H32</f>
        <v>8.623340533088236</v>
      </c>
      <c r="J32">
        <v>156</v>
      </c>
      <c r="K32" s="37">
        <f>J32/240</f>
        <v>0.65</v>
      </c>
      <c r="L32" s="3">
        <f>I32/J32</f>
        <v>0.055277823930052795</v>
      </c>
      <c r="M32" s="39">
        <f>L32*240</f>
        <v>13.266677743212671</v>
      </c>
      <c r="N32" s="45">
        <f>M32/244.753*(24/23)</f>
        <v>0.056561062863395045</v>
      </c>
      <c r="O32" s="10">
        <f>(L32-L31)/L31</f>
        <v>-0.05594405594405598</v>
      </c>
      <c r="P32" s="11">
        <f>L32/0.08523</f>
        <v>0.648572379796466</v>
      </c>
      <c r="Q32" s="11">
        <f>L32/0.075055</f>
        <v>0.7364975541942949</v>
      </c>
      <c r="R32" s="4">
        <f>(C32*J32/240)/G32</f>
        <v>17.68</v>
      </c>
      <c r="S32" s="18">
        <f>R32/0.2447529*(24/23)</f>
        <v>75.37682148883184</v>
      </c>
      <c r="T32" s="42">
        <f>1/R32</f>
        <v>0.05656108597285068</v>
      </c>
      <c r="U32" s="42">
        <f>T32/2</f>
        <v>0.02828054298642534</v>
      </c>
    </row>
    <row r="33" spans="1:21" ht="12.75">
      <c r="A33" s="40" t="s">
        <v>34</v>
      </c>
      <c r="B33" t="s">
        <v>174</v>
      </c>
      <c r="C33" s="39">
        <v>256</v>
      </c>
      <c r="D33" s="43">
        <f>244.7529/C33</f>
        <v>0.956066015625</v>
      </c>
      <c r="E33">
        <v>1</v>
      </c>
      <c r="F33">
        <v>12</v>
      </c>
      <c r="G33" s="2">
        <f>(E33/12)+(F33/24/12)</f>
        <v>0.125</v>
      </c>
      <c r="H33" s="3">
        <f>G33*(23/24)</f>
        <v>0.11979166666666667</v>
      </c>
      <c r="I33" s="2">
        <f>(244.7529/C33)*H33</f>
        <v>0.11452874145507813</v>
      </c>
      <c r="J33">
        <v>3</v>
      </c>
      <c r="K33" s="37">
        <f>J33/240</f>
        <v>0.0125</v>
      </c>
      <c r="L33" s="3">
        <f>I33/J33</f>
        <v>0.03817624715169271</v>
      </c>
      <c r="M33" s="39">
        <f>L33*240</f>
        <v>9.162299316406251</v>
      </c>
      <c r="N33" s="45">
        <f>M33/244.753*(24/23)</f>
        <v>0.0390624840400322</v>
      </c>
      <c r="O33" s="10">
        <f>(L33-L32)/L32</f>
        <v>-0.309375</v>
      </c>
      <c r="P33" s="11">
        <f>L33/0.08523</f>
        <v>0.4479202997969343</v>
      </c>
      <c r="Q33" s="11">
        <f>L33/0.075055</f>
        <v>0.5086436233654349</v>
      </c>
      <c r="R33" s="4">
        <f>(C33*J33/240)/G33</f>
        <v>25.6</v>
      </c>
      <c r="S33" s="18">
        <f>R33/0.2447529*(24/23)</f>
        <v>109.14290894310494</v>
      </c>
      <c r="T33" s="42">
        <f>1/R33</f>
        <v>0.0390625</v>
      </c>
      <c r="U33" s="42">
        <f>T33/2</f>
        <v>0.01953125</v>
      </c>
    </row>
    <row r="34" spans="1:21" ht="12.75">
      <c r="A34" s="40" t="s">
        <v>7</v>
      </c>
      <c r="B34" t="s">
        <v>231</v>
      </c>
      <c r="C34" s="39">
        <v>25.5</v>
      </c>
      <c r="D34" s="43">
        <f>244.7529/C34</f>
        <v>9.59815294117647</v>
      </c>
      <c r="E34">
        <v>11</v>
      </c>
      <c r="F34">
        <v>6</v>
      </c>
      <c r="G34" s="2">
        <f>(E34/12)+(F34/24/12)</f>
        <v>0.9375</v>
      </c>
      <c r="H34" s="3">
        <f>G34*(23/24)</f>
        <v>0.8984375</v>
      </c>
      <c r="I34" s="2">
        <f>(244.7529/C34)*H34</f>
        <v>8.623340533088236</v>
      </c>
      <c r="J34">
        <v>174</v>
      </c>
      <c r="K34" s="37">
        <f>J34/240</f>
        <v>0.725</v>
      </c>
      <c r="L34" s="3">
        <f>I34/J34</f>
        <v>0.04955942835108181</v>
      </c>
      <c r="M34" s="39">
        <f>L34*240</f>
        <v>11.894262804259634</v>
      </c>
      <c r="N34" s="45">
        <f>M34/244.753*(24/23)</f>
        <v>0.05070991842925072</v>
      </c>
      <c r="O34" s="10">
        <f>(L34-L33)/L33</f>
        <v>0.2981744421906693</v>
      </c>
      <c r="P34" s="11">
        <f>L34/0.08523</f>
        <v>0.5814786853347625</v>
      </c>
      <c r="Q34" s="11">
        <f>L34/0.075055</f>
        <v>0.6603081520362643</v>
      </c>
      <c r="R34" s="4">
        <f>(C34*J34/240)/G34</f>
        <v>19.720000000000002</v>
      </c>
      <c r="S34" s="18">
        <f>R34/0.2447529*(24/23)</f>
        <v>84.07414704523553</v>
      </c>
      <c r="T34" s="42">
        <f>1/R34</f>
        <v>0.050709939148073015</v>
      </c>
      <c r="U34" s="42">
        <f>T34/2</f>
        <v>0.025354969574036507</v>
      </c>
    </row>
    <row r="35" spans="1:21" ht="12.75">
      <c r="A35" s="40" t="s">
        <v>7</v>
      </c>
      <c r="B35" t="s">
        <v>147</v>
      </c>
      <c r="C35" s="39">
        <v>17.25</v>
      </c>
      <c r="D35" s="43">
        <f>244.7529/C35</f>
        <v>14.188573913043479</v>
      </c>
      <c r="E35">
        <v>10</v>
      </c>
      <c r="F35">
        <v>10</v>
      </c>
      <c r="G35" s="2">
        <f>(E35/12)+(F35/24/12)</f>
        <v>0.8680555555555556</v>
      </c>
      <c r="H35" s="3">
        <f>G35*(23/24)</f>
        <v>0.8318865740740742</v>
      </c>
      <c r="I35" s="2">
        <f>(244.7529/C35)*H35</f>
        <v>11.803284143518521</v>
      </c>
      <c r="J35">
        <v>240</v>
      </c>
      <c r="K35" s="37">
        <f>J35/240</f>
        <v>1</v>
      </c>
      <c r="L35" s="3">
        <f>I35/J35</f>
        <v>0.04918035059799384</v>
      </c>
      <c r="M35" s="39">
        <f>L35*240</f>
        <v>11.803284143518521</v>
      </c>
      <c r="N35" s="45">
        <f>M35/244.753*(24/23)</f>
        <v>0.05032204063128142</v>
      </c>
      <c r="O35" s="10">
        <f>(L35-L34)/L34</f>
        <v>-0.007648953301126963</v>
      </c>
      <c r="P35" s="11">
        <f>L35/0.08523</f>
        <v>0.5770309820250362</v>
      </c>
      <c r="Q35" s="11">
        <f>L35/0.075055</f>
        <v>0.6552574858169854</v>
      </c>
      <c r="R35" s="4">
        <f>(C35*J35/240)/G35</f>
        <v>19.872</v>
      </c>
      <c r="S35" s="18">
        <f>R35/0.2447529*(24/23)</f>
        <v>84.72218306708521</v>
      </c>
      <c r="T35" s="42">
        <f>1/R35</f>
        <v>0.05032206119162641</v>
      </c>
      <c r="U35" s="42">
        <f>T35/2</f>
        <v>0.025161030595813205</v>
      </c>
    </row>
    <row r="36" spans="1:21" ht="12.75">
      <c r="A36" s="40" t="s">
        <v>29</v>
      </c>
      <c r="B36" t="s">
        <v>0</v>
      </c>
      <c r="C36" s="39">
        <v>25.2</v>
      </c>
      <c r="D36" s="43">
        <f>244.7529/C36</f>
        <v>9.712416666666668</v>
      </c>
      <c r="E36">
        <v>11</v>
      </c>
      <c r="F36">
        <v>11</v>
      </c>
      <c r="G36" s="2">
        <f>(E36/12)+(F36/24/12)</f>
        <v>0.954861111111111</v>
      </c>
      <c r="H36" s="3">
        <f>G36*(23/24)</f>
        <v>0.9150752314814815</v>
      </c>
      <c r="I36" s="2">
        <f>(244.7529/C36)*H36</f>
        <v>8.8875919294946</v>
      </c>
      <c r="J36">
        <f>15*12</f>
        <v>180</v>
      </c>
      <c r="K36" s="37">
        <f>J36/240</f>
        <v>0.75</v>
      </c>
      <c r="L36" s="3">
        <f>I36/J36</f>
        <v>0.04937551071941445</v>
      </c>
      <c r="M36" s="39">
        <f>L36*240</f>
        <v>11.850122572659467</v>
      </c>
      <c r="N36" s="45">
        <f>M36/244.753*(24/23)</f>
        <v>0.05052173126870714</v>
      </c>
      <c r="O36" s="10">
        <f>(L36-L35)/L35</f>
        <v>0.003968253968253947</v>
      </c>
      <c r="P36" s="11">
        <f>L36/0.08523</f>
        <v>0.5793207875092625</v>
      </c>
      <c r="Q36" s="11">
        <f>L36/0.075055</f>
        <v>0.6578577139353068</v>
      </c>
      <c r="R36" s="4">
        <f>(C36*J36/240)/G36</f>
        <v>19.793454545454544</v>
      </c>
      <c r="S36" s="18">
        <f>R36/0.2447529*(24/23)</f>
        <v>84.38731277828249</v>
      </c>
      <c r="T36" s="42">
        <f>1/R36</f>
        <v>0.0505217519106408</v>
      </c>
      <c r="U36" s="42">
        <f>T36/2</f>
        <v>0.0252608759553204</v>
      </c>
    </row>
    <row r="37" spans="1:21" ht="12.75">
      <c r="A37" s="40" t="s">
        <v>29</v>
      </c>
      <c r="B37" t="s">
        <v>119</v>
      </c>
      <c r="C37" s="39">
        <v>102</v>
      </c>
      <c r="D37" s="43">
        <f>244.7529/C37</f>
        <v>2.3995382352941177</v>
      </c>
      <c r="E37">
        <v>3</v>
      </c>
      <c r="F37">
        <v>16</v>
      </c>
      <c r="G37" s="2">
        <f>(E37/12)+(F37/24/12)</f>
        <v>0.3055555555555556</v>
      </c>
      <c r="H37" s="3">
        <f>G37*(23/24)</f>
        <v>0.2928240740740741</v>
      </c>
      <c r="I37" s="2">
        <f>(244.7529/C37)*H37</f>
        <v>0.7026425619553378</v>
      </c>
      <c r="J37">
        <v>12</v>
      </c>
      <c r="K37" s="37">
        <f>J37/240</f>
        <v>0.05</v>
      </c>
      <c r="L37" s="3">
        <f>I37/J37</f>
        <v>0.05855354682961148</v>
      </c>
      <c r="M37" s="39">
        <f>L37*240</f>
        <v>14.052851239106756</v>
      </c>
      <c r="N37" s="45">
        <f>M37/244.753*(24/23)</f>
        <v>0.059912829551596235</v>
      </c>
      <c r="O37" s="10">
        <f>(L37-L36)/L36</f>
        <v>0.18588235294117633</v>
      </c>
      <c r="P37" s="11">
        <f>L37/0.08523</f>
        <v>0.6870062985992196</v>
      </c>
      <c r="Q37" s="11">
        <f>L37/0.075055</f>
        <v>0.7801418537021049</v>
      </c>
      <c r="R37" s="4">
        <f>(C37*J37/240)/G37</f>
        <v>16.690909090909088</v>
      </c>
      <c r="S37" s="18">
        <f>R37/0.2447529*(24/23)</f>
        <v>71.15993637057551</v>
      </c>
      <c r="T37" s="42">
        <f>1/R37</f>
        <v>0.0599128540305011</v>
      </c>
      <c r="U37" s="42">
        <f>T37/2</f>
        <v>0.02995642701525055</v>
      </c>
    </row>
    <row r="38" spans="1:21" ht="12.75">
      <c r="A38" s="40" t="s">
        <v>30</v>
      </c>
      <c r="B38" t="s">
        <v>0</v>
      </c>
      <c r="C38" s="39">
        <v>25.2</v>
      </c>
      <c r="D38" s="43">
        <f>244.7529/C38</f>
        <v>9.712416666666668</v>
      </c>
      <c r="E38">
        <v>11</v>
      </c>
      <c r="F38">
        <v>11</v>
      </c>
      <c r="G38" s="2">
        <f>(E38/12)+(F38/24/12)</f>
        <v>0.954861111111111</v>
      </c>
      <c r="H38" s="3">
        <f>G38*(23/24)</f>
        <v>0.9150752314814815</v>
      </c>
      <c r="I38" s="2">
        <f>(244.7529/C38)*H38</f>
        <v>8.8875919294946</v>
      </c>
      <c r="J38">
        <f>16*12</f>
        <v>192</v>
      </c>
      <c r="K38" s="37">
        <f>J38/240</f>
        <v>0.8</v>
      </c>
      <c r="L38" s="3">
        <f>I38/J38</f>
        <v>0.046289541299451044</v>
      </c>
      <c r="M38" s="39">
        <f>L38*240</f>
        <v>11.10948991186825</v>
      </c>
      <c r="N38" s="45">
        <f>M38/244.753*(24/23)</f>
        <v>0.04736412306441294</v>
      </c>
      <c r="O38" s="10">
        <f>(L38-L37)/L37</f>
        <v>-0.2094494047619047</v>
      </c>
      <c r="P38" s="11">
        <f>L38/0.08523</f>
        <v>0.5431132382899336</v>
      </c>
      <c r="Q38" s="11">
        <f>L38/0.075055</f>
        <v>0.6167416068143501</v>
      </c>
      <c r="R38" s="4">
        <f>(C38*J38/240)/G38</f>
        <v>21.113018181818184</v>
      </c>
      <c r="S38" s="18">
        <f>R38/0.2447529*(24/23)</f>
        <v>90.01313363016801</v>
      </c>
      <c r="T38" s="42">
        <f>1/R38</f>
        <v>0.047364142416225746</v>
      </c>
      <c r="U38" s="42">
        <f>T38/2</f>
        <v>0.023682071208112873</v>
      </c>
    </row>
    <row r="39" spans="1:21" ht="12.75">
      <c r="A39" s="40" t="s">
        <v>30</v>
      </c>
      <c r="B39" t="s">
        <v>111</v>
      </c>
      <c r="C39" s="39">
        <v>34.5</v>
      </c>
      <c r="D39" s="43">
        <f>244.7529/C39</f>
        <v>7.0942869565217395</v>
      </c>
      <c r="E39">
        <v>10</v>
      </c>
      <c r="F39">
        <v>10</v>
      </c>
      <c r="G39" s="2">
        <f>(E39/12)+(F39/24/12)</f>
        <v>0.8680555555555556</v>
      </c>
      <c r="H39" s="3">
        <f>G39*(23/24)</f>
        <v>0.8318865740740742</v>
      </c>
      <c r="I39" s="2">
        <f>(244.7529/C39)*H39</f>
        <v>5.901642071759261</v>
      </c>
      <c r="J39">
        <f>(10*12)+8</f>
        <v>128</v>
      </c>
      <c r="K39" s="37">
        <f>J39/240</f>
        <v>0.5333333333333333</v>
      </c>
      <c r="L39" s="3">
        <f>I39/J39</f>
        <v>0.04610657868561922</v>
      </c>
      <c r="M39" s="39">
        <f>L39*240</f>
        <v>11.065578884548614</v>
      </c>
      <c r="N39" s="45">
        <f>M39/244.753*(24/23)</f>
        <v>0.04717691309182634</v>
      </c>
      <c r="O39" s="10">
        <f>(L39-L38)/L38</f>
        <v>-0.003952569169960435</v>
      </c>
      <c r="P39" s="11">
        <f>L39/0.08523</f>
        <v>0.5409665456484715</v>
      </c>
      <c r="Q39" s="11">
        <f>L39/0.075055</f>
        <v>0.6143038929534238</v>
      </c>
      <c r="R39" s="4">
        <f>(C39*J39/240)/G39</f>
        <v>21.196799999999996</v>
      </c>
      <c r="S39" s="18">
        <f>R39/0.2447529*(24/23)</f>
        <v>90.37032860489087</v>
      </c>
      <c r="T39" s="42">
        <f>1/R39</f>
        <v>0.04717693236714977</v>
      </c>
      <c r="U39" s="42">
        <f>T39/2</f>
        <v>0.023588466183574883</v>
      </c>
    </row>
    <row r="40" spans="1:21" ht="12.75">
      <c r="A40" s="40" t="s">
        <v>90</v>
      </c>
      <c r="B40" t="s">
        <v>4</v>
      </c>
      <c r="C40" s="39">
        <v>9</v>
      </c>
      <c r="D40" s="43">
        <f>244.7529/C40</f>
        <v>27.194766666666666</v>
      </c>
      <c r="E40">
        <v>12</v>
      </c>
      <c r="F40">
        <v>0</v>
      </c>
      <c r="G40" s="2">
        <f>(E40/12)+(F40/24/12)</f>
        <v>1</v>
      </c>
      <c r="H40" s="3">
        <f>G40*(23/24)</f>
        <v>0.9583333333333334</v>
      </c>
      <c r="I40" s="2">
        <f>(244.7529/C40)*H40</f>
        <v>26.06165138888889</v>
      </c>
      <c r="J40">
        <f>3*240</f>
        <v>720</v>
      </c>
      <c r="K40" s="37">
        <f>J40/240</f>
        <v>3</v>
      </c>
      <c r="L40" s="3">
        <f>I40/J40</f>
        <v>0.03619673804012346</v>
      </c>
      <c r="M40" s="39">
        <f>L40*240</f>
        <v>8.68721712962963</v>
      </c>
      <c r="N40" s="45">
        <f>M40/244.753*(24/23)</f>
        <v>0.03703702190462312</v>
      </c>
      <c r="O40" s="10">
        <f>(L40-L39)/L39</f>
        <v>-0.21493333333333345</v>
      </c>
      <c r="P40" s="11">
        <f>L40/0.08523</f>
        <v>0.4246948027704266</v>
      </c>
      <c r="Q40" s="11">
        <f>L40/0.075055</f>
        <v>0.4822695095613012</v>
      </c>
      <c r="R40" s="4">
        <f>(C40*J40/240)/G40</f>
        <v>27</v>
      </c>
      <c r="S40" s="18">
        <f>R40/0.2447529*(24/23)</f>
        <v>115.111661775931</v>
      </c>
      <c r="T40" s="42">
        <f>1/R40</f>
        <v>0.037037037037037035</v>
      </c>
      <c r="U40" s="42">
        <f>T40/2</f>
        <v>0.018518518518518517</v>
      </c>
    </row>
    <row r="41" spans="1:21" ht="12.75">
      <c r="A41" s="40" t="s">
        <v>90</v>
      </c>
      <c r="B41" t="s">
        <v>0</v>
      </c>
      <c r="C41" s="39">
        <v>25.2</v>
      </c>
      <c r="D41" s="43">
        <f>244.7529/C41</f>
        <v>9.712416666666668</v>
      </c>
      <c r="E41">
        <v>11</v>
      </c>
      <c r="F41">
        <v>11</v>
      </c>
      <c r="G41" s="2">
        <f>(E41/12)+(F41/24/12)</f>
        <v>0.954861111111111</v>
      </c>
      <c r="H41" s="3">
        <f>G41*(23/24)</f>
        <v>0.9150752314814815</v>
      </c>
      <c r="I41" s="2">
        <f>(244.7529/C41)*H41</f>
        <v>8.8875919294946</v>
      </c>
      <c r="J41">
        <v>240</v>
      </c>
      <c r="K41" s="37">
        <f>J41/240</f>
        <v>1</v>
      </c>
      <c r="L41" s="3">
        <f>I41/J41</f>
        <v>0.037031633039560835</v>
      </c>
      <c r="M41" s="39">
        <f>L41*240</f>
        <v>8.8875919294946</v>
      </c>
      <c r="N41" s="45">
        <f>M41/244.753*(24/23)</f>
        <v>0.03789129845153036</v>
      </c>
      <c r="O41" s="10">
        <f>(L41-L40)/L40</f>
        <v>0.02306547619047631</v>
      </c>
      <c r="P41" s="11">
        <f>L41/0.08523</f>
        <v>0.4344905906319469</v>
      </c>
      <c r="Q41" s="11">
        <f>L41/0.075055</f>
        <v>0.4933932854514801</v>
      </c>
      <c r="R41" s="4">
        <f>(C41*J41/240)/G41</f>
        <v>26.391272727272728</v>
      </c>
      <c r="S41" s="18">
        <f>R41/0.2447529*(24/23)</f>
        <v>112.51641703771</v>
      </c>
      <c r="T41" s="42">
        <f>1/R41</f>
        <v>0.0378913139329806</v>
      </c>
      <c r="U41" s="42">
        <f>T41/2</f>
        <v>0.0189456569664903</v>
      </c>
    </row>
    <row r="42" spans="1:21" ht="12.75">
      <c r="A42" s="40" t="s">
        <v>90</v>
      </c>
      <c r="B42" t="s">
        <v>112</v>
      </c>
      <c r="C42" s="39">
        <v>34.5</v>
      </c>
      <c r="D42" s="43">
        <f>244.7529/C42</f>
        <v>7.0942869565217395</v>
      </c>
      <c r="E42">
        <v>10</v>
      </c>
      <c r="F42">
        <v>10</v>
      </c>
      <c r="G42" s="2">
        <f>(E42/12)+(F42/24/12)</f>
        <v>0.8680555555555556</v>
      </c>
      <c r="H42" s="3">
        <f>G42*(23/24)</f>
        <v>0.8318865740740742</v>
      </c>
      <c r="I42" s="2">
        <f>(244.7529/C42)*H42</f>
        <v>5.901642071759261</v>
      </c>
      <c r="J42">
        <v>160</v>
      </c>
      <c r="K42" s="37">
        <f>J42/240</f>
        <v>0.6666666666666666</v>
      </c>
      <c r="L42" s="3">
        <f>I42/J42</f>
        <v>0.03688526294849538</v>
      </c>
      <c r="M42" s="39">
        <f>L42*240</f>
        <v>8.852463107638892</v>
      </c>
      <c r="N42" s="45">
        <f>M42/244.753*(24/23)</f>
        <v>0.03774153047346107</v>
      </c>
      <c r="O42" s="10">
        <f>(L42-L41)/L41</f>
        <v>-0.00395256916996036</v>
      </c>
      <c r="P42" s="11">
        <f>L42/0.08523</f>
        <v>0.4327732365187772</v>
      </c>
      <c r="Q42" s="11">
        <f>L42/0.075055</f>
        <v>0.4914431143627391</v>
      </c>
      <c r="R42" s="4">
        <f>(C42*J42/240)/G42</f>
        <v>26.496</v>
      </c>
      <c r="S42" s="18">
        <f>R42/0.2447529*(24/23)</f>
        <v>112.9629107561136</v>
      </c>
      <c r="T42" s="42">
        <f>1/R42</f>
        <v>0.03774154589371981</v>
      </c>
      <c r="U42" s="42">
        <f>T42/2</f>
        <v>0.018870772946859904</v>
      </c>
    </row>
    <row r="43" spans="1:21" ht="12.75">
      <c r="A43" s="40" t="s">
        <v>8</v>
      </c>
      <c r="B43" t="s">
        <v>0</v>
      </c>
      <c r="C43" s="39">
        <v>25.2</v>
      </c>
      <c r="D43" s="43">
        <f>244.7529/C43</f>
        <v>9.712416666666668</v>
      </c>
      <c r="E43">
        <v>11</v>
      </c>
      <c r="F43">
        <v>11</v>
      </c>
      <c r="G43" s="2">
        <f>(E43/12)+(F43/24/12)</f>
        <v>0.954861111111111</v>
      </c>
      <c r="H43" s="3">
        <f>G43*(23/24)</f>
        <v>0.9150752314814815</v>
      </c>
      <c r="I43" s="2">
        <f>(244.7529/C43)*H43</f>
        <v>8.8875919294946</v>
      </c>
      <c r="J43">
        <v>240</v>
      </c>
      <c r="K43" s="37">
        <f>J43/240</f>
        <v>1</v>
      </c>
      <c r="L43" s="3">
        <f>I43/J43</f>
        <v>0.037031633039560835</v>
      </c>
      <c r="M43" s="39">
        <f>L43*240</f>
        <v>8.8875919294946</v>
      </c>
      <c r="N43" s="45">
        <f>M43/244.753*(24/23)</f>
        <v>0.03789129845153036</v>
      </c>
      <c r="O43" s="10">
        <f>(L43-L42)/L42</f>
        <v>0.0039682539682538535</v>
      </c>
      <c r="P43" s="11">
        <f>L43/0.08523</f>
        <v>0.4344905906319469</v>
      </c>
      <c r="Q43" s="11">
        <f>L43/0.075055</f>
        <v>0.4933932854514801</v>
      </c>
      <c r="R43" s="4">
        <f>(C43*J43/240)/G43</f>
        <v>26.391272727272728</v>
      </c>
      <c r="S43" s="18">
        <f>R43/0.2447529*(24/23)</f>
        <v>112.51641703771</v>
      </c>
      <c r="T43" s="42">
        <f>1/R43</f>
        <v>0.0378913139329806</v>
      </c>
      <c r="U43" s="42">
        <f>T43/2</f>
        <v>0.0189456569664903</v>
      </c>
    </row>
    <row r="44" spans="1:21" ht="12.75">
      <c r="A44" s="40" t="s">
        <v>8</v>
      </c>
      <c r="B44" t="s">
        <v>124</v>
      </c>
      <c r="C44" s="39">
        <v>9</v>
      </c>
      <c r="D44" s="43">
        <f>244.7529/C44</f>
        <v>27.194766666666666</v>
      </c>
      <c r="E44">
        <v>12</v>
      </c>
      <c r="F44">
        <v>0</v>
      </c>
      <c r="G44" s="2">
        <f>(E44/12)+(F44/24/12)</f>
        <v>1</v>
      </c>
      <c r="H44" s="3">
        <f>G44*(23/24)</f>
        <v>0.9583333333333334</v>
      </c>
      <c r="I44" s="2">
        <f>(244.7529/C44)*H44</f>
        <v>26.06165138888889</v>
      </c>
      <c r="J44">
        <f>3*240</f>
        <v>720</v>
      </c>
      <c r="K44" s="37">
        <f>J44/240</f>
        <v>3</v>
      </c>
      <c r="L44" s="3">
        <f>I44/J44</f>
        <v>0.03619673804012346</v>
      </c>
      <c r="M44" s="39">
        <f>L44*240</f>
        <v>8.68721712962963</v>
      </c>
      <c r="N44" s="45">
        <f>M44/244.753*(24/23)</f>
        <v>0.03703702190462312</v>
      </c>
      <c r="O44" s="10">
        <f>(L44-L43)/L43</f>
        <v>-0.02254545454545466</v>
      </c>
      <c r="P44" s="11">
        <f>L44/0.08523</f>
        <v>0.4246948027704266</v>
      </c>
      <c r="Q44" s="11">
        <f>L44/0.075055</f>
        <v>0.4822695095613012</v>
      </c>
      <c r="R44" s="4">
        <f>(C44*J44/240)/G44</f>
        <v>27</v>
      </c>
      <c r="S44" s="18">
        <f>R44/0.2447529*(24/23)</f>
        <v>115.111661775931</v>
      </c>
      <c r="T44" s="42">
        <f>1/R44</f>
        <v>0.037037037037037035</v>
      </c>
      <c r="U44" s="42">
        <f>T44/2</f>
        <v>0.018518518518518517</v>
      </c>
    </row>
    <row r="45" spans="1:21" ht="12.75">
      <c r="A45" s="40" t="s">
        <v>9</v>
      </c>
      <c r="B45" t="s">
        <v>124</v>
      </c>
      <c r="C45" s="39">
        <v>9</v>
      </c>
      <c r="D45" s="43">
        <f>244.7529/C45</f>
        <v>27.194766666666666</v>
      </c>
      <c r="E45">
        <v>12</v>
      </c>
      <c r="F45">
        <v>0</v>
      </c>
      <c r="G45" s="2">
        <f>(E45/12)+(F45/24/12)</f>
        <v>1</v>
      </c>
      <c r="H45" s="3">
        <f>G45*(23/24)</f>
        <v>0.9583333333333334</v>
      </c>
      <c r="I45" s="2">
        <f>(244.7529/C45)*H45</f>
        <v>26.06165138888889</v>
      </c>
      <c r="J45">
        <v>720</v>
      </c>
      <c r="K45" s="37">
        <f>J45/240</f>
        <v>3</v>
      </c>
      <c r="L45" s="3">
        <f>I45/J45</f>
        <v>0.03619673804012346</v>
      </c>
      <c r="M45" s="39">
        <f>L45*240</f>
        <v>8.68721712962963</v>
      </c>
      <c r="N45" s="45">
        <f>M45/244.753*(24/23)</f>
        <v>0.03703702190462312</v>
      </c>
      <c r="O45" s="10">
        <f>(L45-L44)/L44</f>
        <v>0</v>
      </c>
      <c r="P45" s="11">
        <f>L45/0.08523</f>
        <v>0.4246948027704266</v>
      </c>
      <c r="Q45" s="11">
        <f>L45/0.075055</f>
        <v>0.4822695095613012</v>
      </c>
      <c r="R45" s="4">
        <f>(C45*J45/240)/G45</f>
        <v>27</v>
      </c>
      <c r="S45" s="18">
        <f>R45/0.2447529*(24/23)</f>
        <v>115.111661775931</v>
      </c>
      <c r="T45" s="42">
        <f>1/R45</f>
        <v>0.037037037037037035</v>
      </c>
      <c r="U45" s="42">
        <f>T45/2</f>
        <v>0.018518518518518517</v>
      </c>
    </row>
    <row r="46" spans="1:21" ht="12.75">
      <c r="A46" s="40" t="s">
        <v>91</v>
      </c>
      <c r="B46" t="s">
        <v>175</v>
      </c>
      <c r="C46" s="39">
        <v>30.5</v>
      </c>
      <c r="D46" s="43">
        <f>244.7529/C46</f>
        <v>8.02468524590164</v>
      </c>
      <c r="E46">
        <v>12</v>
      </c>
      <c r="F46">
        <v>0</v>
      </c>
      <c r="G46" s="2">
        <f>(E46/12)+(F46/24/12)</f>
        <v>1</v>
      </c>
      <c r="H46" s="3">
        <f>G46*(23/24)</f>
        <v>0.9583333333333334</v>
      </c>
      <c r="I46" s="2">
        <f>(244.7529/C46)*H46</f>
        <v>7.690323360655739</v>
      </c>
      <c r="J46">
        <v>240</v>
      </c>
      <c r="K46" s="37">
        <f>J46/240</f>
        <v>1</v>
      </c>
      <c r="L46" s="3">
        <f>I46/J46</f>
        <v>0.03204301400273225</v>
      </c>
      <c r="M46" s="39">
        <f>L46*240</f>
        <v>7.690323360655739</v>
      </c>
      <c r="N46" s="45">
        <f>M46/244.753*(24/23)</f>
        <v>0.032786871849994244</v>
      </c>
      <c r="O46" s="10">
        <f>(L46-L45)/L45</f>
        <v>-0.11475409836065563</v>
      </c>
      <c r="P46" s="11">
        <f>L46/0.08523</f>
        <v>0.37595933360004985</v>
      </c>
      <c r="Q46" s="11">
        <f>L46/0.075055</f>
        <v>0.4269271068247585</v>
      </c>
      <c r="R46" s="4">
        <f>(C46*J46/240)/G46</f>
        <v>30.5</v>
      </c>
      <c r="S46" s="18">
        <f>R46/0.2447529*(24/23)</f>
        <v>130.0335438579961</v>
      </c>
      <c r="T46" s="42">
        <f>1/R46</f>
        <v>0.03278688524590164</v>
      </c>
      <c r="U46" s="42">
        <f>T46/2</f>
        <v>0.01639344262295082</v>
      </c>
    </row>
    <row r="47" spans="1:21" ht="12.75">
      <c r="A47" s="40" t="s">
        <v>10</v>
      </c>
      <c r="B47" t="s">
        <v>124</v>
      </c>
      <c r="C47" s="39">
        <v>9</v>
      </c>
      <c r="D47" s="43">
        <f>244.7529/C47</f>
        <v>27.194766666666666</v>
      </c>
      <c r="E47">
        <v>12</v>
      </c>
      <c r="F47">
        <v>0</v>
      </c>
      <c r="G47" s="2">
        <f>(E47/12)+(F47/24/12)</f>
        <v>1</v>
      </c>
      <c r="H47" s="3">
        <f>G47*(23/24)</f>
        <v>0.9583333333333334</v>
      </c>
      <c r="I47" s="2">
        <f>(244.7529/C47)*H47</f>
        <v>26.06165138888889</v>
      </c>
      <c r="J47">
        <v>720</v>
      </c>
      <c r="K47" s="37">
        <f>J47/240</f>
        <v>3</v>
      </c>
      <c r="L47" s="3">
        <f>I47/J47</f>
        <v>0.03619673804012346</v>
      </c>
      <c r="M47" s="39">
        <f>L47*240</f>
        <v>8.68721712962963</v>
      </c>
      <c r="N47" s="45">
        <f>M47/244.753*(24/23)</f>
        <v>0.03703702190462312</v>
      </c>
      <c r="O47" s="10">
        <f>(L47-L46)/L46</f>
        <v>0.12962962962962948</v>
      </c>
      <c r="P47" s="11">
        <f>L47/0.08523</f>
        <v>0.4246948027704266</v>
      </c>
      <c r="Q47" s="11">
        <f>L47/0.075055</f>
        <v>0.4822695095613012</v>
      </c>
      <c r="R47" s="4">
        <f>(C47*J47/240)/G47</f>
        <v>27</v>
      </c>
      <c r="S47" s="18">
        <f>R47/0.2447529*(24/23)</f>
        <v>115.111661775931</v>
      </c>
      <c r="T47" s="42">
        <f>1/R47</f>
        <v>0.037037037037037035</v>
      </c>
      <c r="U47" s="42">
        <f>T47/2</f>
        <v>0.018518518518518517</v>
      </c>
    </row>
    <row r="48" spans="1:21" ht="12.75">
      <c r="A48" s="40" t="s">
        <v>11</v>
      </c>
      <c r="B48" t="s">
        <v>220</v>
      </c>
      <c r="C48" s="39">
        <v>150</v>
      </c>
      <c r="D48" s="43">
        <f>244.7529/C48</f>
        <v>1.631686</v>
      </c>
      <c r="E48">
        <v>10</v>
      </c>
      <c r="F48">
        <v>0</v>
      </c>
      <c r="G48" s="2">
        <f>(E48/12)+(F48/24/12)</f>
        <v>0.8333333333333334</v>
      </c>
      <c r="H48" s="3">
        <f>G48*(23/24)</f>
        <v>0.7986111111111112</v>
      </c>
      <c r="I48" s="2">
        <f>(244.7529/C48)*H48</f>
        <v>1.3030825694444446</v>
      </c>
      <c r="J48">
        <v>48</v>
      </c>
      <c r="K48" s="37">
        <f>J48/240</f>
        <v>0.2</v>
      </c>
      <c r="L48" s="3">
        <f>I48/J48</f>
        <v>0.027147553530092596</v>
      </c>
      <c r="M48" s="39">
        <f>L48*240</f>
        <v>6.5154128472222235</v>
      </c>
      <c r="N48" s="45">
        <f>M48/244.753*(24/23)</f>
        <v>0.027777766428467344</v>
      </c>
      <c r="O48" s="10">
        <f>(L48-L47)/L47</f>
        <v>-0.24999999999999994</v>
      </c>
      <c r="P48" s="11">
        <f>L48/0.08523</f>
        <v>0.31852110207782</v>
      </c>
      <c r="Q48" s="11">
        <f>L48/0.075055</f>
        <v>0.3617021321709759</v>
      </c>
      <c r="R48" s="4">
        <f>(C48*J48/240)/G48</f>
        <v>36</v>
      </c>
      <c r="S48" s="18">
        <f>R48/0.2447529*(24/23)</f>
        <v>153.48221570124133</v>
      </c>
      <c r="T48" s="42">
        <f>1/R48</f>
        <v>0.027777777777777776</v>
      </c>
      <c r="U48" s="42">
        <f>T48/2</f>
        <v>0.013888888888888888</v>
      </c>
    </row>
    <row r="49" spans="1:21" ht="12.75">
      <c r="A49" s="40" t="s">
        <v>12</v>
      </c>
      <c r="B49" t="s">
        <v>124</v>
      </c>
      <c r="C49" s="39">
        <v>9</v>
      </c>
      <c r="D49" s="43">
        <f>244.7529/C49</f>
        <v>27.194766666666666</v>
      </c>
      <c r="E49">
        <v>12</v>
      </c>
      <c r="F49">
        <v>0</v>
      </c>
      <c r="G49" s="2">
        <f>(E49/12)+(F49/24/12)</f>
        <v>1</v>
      </c>
      <c r="H49" s="3">
        <f>G49*(23/24)</f>
        <v>0.9583333333333334</v>
      </c>
      <c r="I49" s="2">
        <f>(244.7529/C49)*H49</f>
        <v>26.06165138888889</v>
      </c>
      <c r="J49">
        <v>720</v>
      </c>
      <c r="K49" s="37">
        <f>J49/240</f>
        <v>3</v>
      </c>
      <c r="L49" s="3">
        <f>I49/J49</f>
        <v>0.03619673804012346</v>
      </c>
      <c r="M49" s="39">
        <f>L49*240</f>
        <v>8.68721712962963</v>
      </c>
      <c r="N49" s="45">
        <f>M49/244.753*(24/23)</f>
        <v>0.03703702190462312</v>
      </c>
      <c r="O49" s="10">
        <f>(L49-L48)/L48</f>
        <v>0.33333333333333326</v>
      </c>
      <c r="P49" s="11">
        <f>L49/0.08523</f>
        <v>0.4246948027704266</v>
      </c>
      <c r="Q49" s="11">
        <f>L49/0.075055</f>
        <v>0.4822695095613012</v>
      </c>
      <c r="R49" s="4">
        <f>(C49*J49/240)/G49</f>
        <v>27</v>
      </c>
      <c r="S49" s="18">
        <f>R49/0.2447529*(24/23)</f>
        <v>115.111661775931</v>
      </c>
      <c r="T49" s="42">
        <f>1/R49</f>
        <v>0.037037037037037035</v>
      </c>
      <c r="U49" s="42">
        <f>T49/2</f>
        <v>0.018518518518518517</v>
      </c>
    </row>
    <row r="50" spans="1:21" ht="12.75">
      <c r="A50" s="40" t="s">
        <v>13</v>
      </c>
      <c r="B50" t="s">
        <v>136</v>
      </c>
      <c r="C50" s="39">
        <v>9</v>
      </c>
      <c r="D50" s="43">
        <f>244.7529/C50</f>
        <v>27.194766666666666</v>
      </c>
      <c r="E50">
        <v>12</v>
      </c>
      <c r="F50">
        <v>0</v>
      </c>
      <c r="G50" s="2">
        <f>(E50/12)+(F50/24/12)</f>
        <v>1</v>
      </c>
      <c r="H50" s="3">
        <f>G50*(23/24)</f>
        <v>0.9583333333333334</v>
      </c>
      <c r="I50" s="2">
        <f>(244.7529/C50)*H50</f>
        <v>26.06165138888889</v>
      </c>
      <c r="J50">
        <v>720</v>
      </c>
      <c r="K50" s="37">
        <f>J50/240</f>
        <v>3</v>
      </c>
      <c r="L50" s="3">
        <f>I50/J50</f>
        <v>0.03619673804012346</v>
      </c>
      <c r="M50" s="39">
        <f>L50*240</f>
        <v>8.68721712962963</v>
      </c>
      <c r="N50" s="45">
        <f>M50/244.753*(24/23)</f>
        <v>0.03703702190462312</v>
      </c>
      <c r="O50" s="10">
        <f>(L50-L49)/L49</f>
        <v>0</v>
      </c>
      <c r="P50" s="11">
        <f>L50/0.08523</f>
        <v>0.4246948027704266</v>
      </c>
      <c r="Q50" s="11">
        <f>L50/0.075055</f>
        <v>0.4822695095613012</v>
      </c>
      <c r="R50" s="4">
        <f>(C50*J50/240)/G50</f>
        <v>27</v>
      </c>
      <c r="S50" s="18">
        <f>R50/0.2447529*(24/23)</f>
        <v>115.111661775931</v>
      </c>
      <c r="T50" s="42">
        <f>1/R50</f>
        <v>0.037037037037037035</v>
      </c>
      <c r="U50" s="42">
        <f>T50/2</f>
        <v>0.018518518518518517</v>
      </c>
    </row>
    <row r="51" spans="1:21" ht="12.75">
      <c r="A51" s="40" t="s">
        <v>37</v>
      </c>
      <c r="B51" t="s">
        <v>122</v>
      </c>
      <c r="C51" s="39">
        <v>9</v>
      </c>
      <c r="D51" s="43">
        <f>244.7529/C51</f>
        <v>27.194766666666666</v>
      </c>
      <c r="E51">
        <v>12</v>
      </c>
      <c r="F51">
        <v>0</v>
      </c>
      <c r="G51" s="2">
        <f>(E51/12)+(F51/24/12)</f>
        <v>1</v>
      </c>
      <c r="H51" s="3">
        <f>G51*(23/24)</f>
        <v>0.9583333333333334</v>
      </c>
      <c r="I51" s="2">
        <f>(244.7529/C51)*H51</f>
        <v>26.06165138888889</v>
      </c>
      <c r="J51">
        <f>66*12</f>
        <v>792</v>
      </c>
      <c r="K51" s="37">
        <f>J51/240</f>
        <v>3.3</v>
      </c>
      <c r="L51" s="3">
        <f>I51/J51</f>
        <v>0.03290612549102133</v>
      </c>
      <c r="M51" s="39">
        <f>L51*240</f>
        <v>7.897470117845119</v>
      </c>
      <c r="N51" s="45">
        <f>M51/244.753*(24/23)</f>
        <v>0.03367001991329375</v>
      </c>
      <c r="O51" s="10">
        <f>(L51-L50)/L50</f>
        <v>-0.09090909090909084</v>
      </c>
      <c r="P51" s="11">
        <f>L51/0.08523</f>
        <v>0.38608618433675146</v>
      </c>
      <c r="Q51" s="11">
        <f>L51/0.075055</f>
        <v>0.4384268268739102</v>
      </c>
      <c r="R51" s="4">
        <f>(C51*J51/240)/G51</f>
        <v>29.7</v>
      </c>
      <c r="S51" s="18">
        <f>R51/0.2447529*(24/23)</f>
        <v>126.6228279535241</v>
      </c>
      <c r="T51" s="42">
        <f>1/R51</f>
        <v>0.03367003367003367</v>
      </c>
      <c r="U51" s="42">
        <f>T51/2</f>
        <v>0.016835016835016835</v>
      </c>
    </row>
    <row r="52" spans="1:21" ht="12.75">
      <c r="A52" s="40" t="s">
        <v>14</v>
      </c>
      <c r="B52" t="s">
        <v>220</v>
      </c>
      <c r="C52" s="39">
        <v>150</v>
      </c>
      <c r="D52" s="43">
        <f>244.7529/C52</f>
        <v>1.631686</v>
      </c>
      <c r="E52">
        <v>10</v>
      </c>
      <c r="F52">
        <v>0</v>
      </c>
      <c r="G52" s="2">
        <f>(E52/12)+(F52/24/12)</f>
        <v>0.8333333333333334</v>
      </c>
      <c r="H52" s="3">
        <f>G52*(23/24)</f>
        <v>0.7986111111111112</v>
      </c>
      <c r="I52" s="2">
        <f>(244.7529/C52)*H52</f>
        <v>1.3030825694444446</v>
      </c>
      <c r="J52">
        <v>48</v>
      </c>
      <c r="K52" s="37">
        <f>J52/240</f>
        <v>0.2</v>
      </c>
      <c r="L52" s="3">
        <f>I52/J52</f>
        <v>0.027147553530092596</v>
      </c>
      <c r="M52" s="39">
        <f>L52*240</f>
        <v>6.5154128472222235</v>
      </c>
      <c r="N52" s="45">
        <f>M52/244.753*(24/23)</f>
        <v>0.027777766428467344</v>
      </c>
      <c r="O52" s="10">
        <f>(L52-L51)/L51</f>
        <v>-0.17500000000000002</v>
      </c>
      <c r="P52" s="11">
        <f>L52/0.08523</f>
        <v>0.31852110207782</v>
      </c>
      <c r="Q52" s="11">
        <f>L52/0.075055</f>
        <v>0.3617021321709759</v>
      </c>
      <c r="R52" s="4">
        <f>(C52*J52/240)/G52</f>
        <v>36</v>
      </c>
      <c r="S52" s="18">
        <f>R52/0.2447529*(24/23)</f>
        <v>153.48221570124133</v>
      </c>
      <c r="T52" s="42">
        <f>1/R52</f>
        <v>0.027777777777777776</v>
      </c>
      <c r="U52" s="42">
        <f>T52/2</f>
        <v>0.013888888888888888</v>
      </c>
    </row>
    <row r="53" spans="1:21" ht="12.75">
      <c r="A53" s="40" t="s">
        <v>15</v>
      </c>
      <c r="B53" t="s">
        <v>134</v>
      </c>
      <c r="C53" s="39">
        <v>9</v>
      </c>
      <c r="D53" s="43">
        <f>244.7529/C53</f>
        <v>27.194766666666666</v>
      </c>
      <c r="E53">
        <v>12</v>
      </c>
      <c r="F53">
        <v>0</v>
      </c>
      <c r="G53" s="2">
        <f>(E53/12)+(F53/24/12)</f>
        <v>1</v>
      </c>
      <c r="H53" s="3">
        <f>G53*(23/24)</f>
        <v>0.9583333333333334</v>
      </c>
      <c r="I53" s="2">
        <f>(244.7529/C53)*H53</f>
        <v>26.06165138888889</v>
      </c>
      <c r="J53">
        <f>3.6*240</f>
        <v>864</v>
      </c>
      <c r="K53" s="37">
        <f>J53/240</f>
        <v>3.6</v>
      </c>
      <c r="L53" s="3">
        <f>I53/J53</f>
        <v>0.030163948366769548</v>
      </c>
      <c r="M53" s="39">
        <f>L53*240</f>
        <v>7.2393476080246915</v>
      </c>
      <c r="N53" s="45">
        <f>M53/244.753*(24/23)</f>
        <v>0.030864184920519264</v>
      </c>
      <c r="O53" s="10">
        <f>(L53-L52)/L52</f>
        <v>0.111111111111111</v>
      </c>
      <c r="P53" s="11">
        <f>L53/0.08523</f>
        <v>0.3539123356420222</v>
      </c>
      <c r="Q53" s="11">
        <f>L53/0.075055</f>
        <v>0.401891257967751</v>
      </c>
      <c r="R53" s="4">
        <f>(C53*J53/240)/G53</f>
        <v>32.4</v>
      </c>
      <c r="S53" s="18">
        <f>R53/0.2447529*(24/23)</f>
        <v>138.1339941311172</v>
      </c>
      <c r="T53" s="42">
        <f>1/R53</f>
        <v>0.0308641975308642</v>
      </c>
      <c r="U53" s="42">
        <f>T53/2</f>
        <v>0.0154320987654321</v>
      </c>
    </row>
    <row r="54" spans="1:21" ht="12.75">
      <c r="A54" s="40" t="s">
        <v>25</v>
      </c>
      <c r="B54" t="s">
        <v>130</v>
      </c>
      <c r="C54" s="39">
        <v>9</v>
      </c>
      <c r="D54" s="43">
        <f>244.7529/C54</f>
        <v>27.194766666666666</v>
      </c>
      <c r="E54">
        <v>12</v>
      </c>
      <c r="F54">
        <v>0</v>
      </c>
      <c r="G54" s="2">
        <f>(E54/12)+(F54/24/12)</f>
        <v>1</v>
      </c>
      <c r="H54" s="3">
        <f>G54*(23/24)</f>
        <v>0.9583333333333334</v>
      </c>
      <c r="I54" s="2">
        <f>(244.7529/C54)*H54</f>
        <v>26.06165138888889</v>
      </c>
      <c r="J54">
        <f>3.8*240</f>
        <v>912</v>
      </c>
      <c r="K54" s="37">
        <f>J54/240</f>
        <v>3.8</v>
      </c>
      <c r="L54" s="3">
        <f>I54/J54</f>
        <v>0.028576372136939573</v>
      </c>
      <c r="M54" s="39">
        <f>L54*240</f>
        <v>6.858329312865497</v>
      </c>
      <c r="N54" s="45">
        <f>M54/244.753*(24/23)</f>
        <v>0.02923975413522878</v>
      </c>
      <c r="O54" s="10">
        <f>(L54-L53)/L53</f>
        <v>-0.05263157894736837</v>
      </c>
      <c r="P54" s="11">
        <f>L54/0.08523</f>
        <v>0.33528537060823155</v>
      </c>
      <c r="Q54" s="11">
        <f>L54/0.075055</f>
        <v>0.3807390864957641</v>
      </c>
      <c r="R54" s="4">
        <f>(C54*J54/240)/G54</f>
        <v>34.2</v>
      </c>
      <c r="S54" s="18">
        <f>R54/0.2447529*(24/23)</f>
        <v>145.80810491617927</v>
      </c>
      <c r="T54" s="42">
        <f>1/R54</f>
        <v>0.029239766081871343</v>
      </c>
      <c r="U54" s="42">
        <f>T54/2</f>
        <v>0.014619883040935672</v>
      </c>
    </row>
    <row r="55" spans="1:21" ht="12.75">
      <c r="A55" s="40" t="s">
        <v>22</v>
      </c>
      <c r="B55" t="s">
        <v>122</v>
      </c>
      <c r="C55" s="39">
        <v>9</v>
      </c>
      <c r="D55" s="43">
        <f>244.7529/C55</f>
        <v>27.194766666666666</v>
      </c>
      <c r="E55">
        <v>12</v>
      </c>
      <c r="F55">
        <v>0</v>
      </c>
      <c r="G55" s="2">
        <f>(E55/12)+(F55/24/12)</f>
        <v>1</v>
      </c>
      <c r="H55" s="3">
        <f>G55*(23/24)</f>
        <v>0.9583333333333334</v>
      </c>
      <c r="I55" s="2">
        <f>(244.7529/C55)*H55</f>
        <v>26.06165138888889</v>
      </c>
      <c r="J55">
        <f>4*240</f>
        <v>960</v>
      </c>
      <c r="K55" s="37">
        <f>J55/240</f>
        <v>4</v>
      </c>
      <c r="L55" s="3">
        <f>I55/J55</f>
        <v>0.027147553530092593</v>
      </c>
      <c r="M55" s="39">
        <f>L55*240</f>
        <v>6.515412847222223</v>
      </c>
      <c r="N55" s="45">
        <f>M55/244.753*(24/23)</f>
        <v>0.02777776642846734</v>
      </c>
      <c r="O55" s="10">
        <f>(L55-L54)/L54</f>
        <v>-0.05000000000000007</v>
      </c>
      <c r="P55" s="11">
        <f>L55/0.08523</f>
        <v>0.3185211020778199</v>
      </c>
      <c r="Q55" s="11">
        <f>L55/0.075055</f>
        <v>0.36170213217097585</v>
      </c>
      <c r="R55" s="4">
        <f>(C55*J55/240)/G55</f>
        <v>36</v>
      </c>
      <c r="S55" s="18">
        <f>R55/0.2447529*(24/23)</f>
        <v>153.48221570124133</v>
      </c>
      <c r="T55" s="42">
        <f>1/R55</f>
        <v>0.027777777777777776</v>
      </c>
      <c r="U55" s="42">
        <f>T55/2</f>
        <v>0.013888888888888888</v>
      </c>
    </row>
    <row r="56" spans="1:21" ht="12.75">
      <c r="A56" s="40" t="s">
        <v>23</v>
      </c>
      <c r="B56" t="s">
        <v>121</v>
      </c>
      <c r="C56" s="39">
        <v>8</v>
      </c>
      <c r="D56" s="43">
        <f>244.7529/C56</f>
        <v>30.5941125</v>
      </c>
      <c r="E56">
        <v>12</v>
      </c>
      <c r="F56">
        <v>0</v>
      </c>
      <c r="G56" s="2">
        <f>(E56/12)+(F56/24/12)</f>
        <v>1</v>
      </c>
      <c r="H56" s="3">
        <f>G56*(23/24)</f>
        <v>0.9583333333333334</v>
      </c>
      <c r="I56" s="2">
        <f>(244.7529/C56)*H56</f>
        <v>29.3193578125</v>
      </c>
      <c r="J56">
        <f>5*240</f>
        <v>1200</v>
      </c>
      <c r="K56" s="37">
        <f>J56/240</f>
        <v>5</v>
      </c>
      <c r="L56" s="3">
        <f>I56/J56</f>
        <v>0.024432798177083336</v>
      </c>
      <c r="M56" s="39">
        <f>L56*240</f>
        <v>5.863871562500001</v>
      </c>
      <c r="N56" s="45">
        <f>M56/244.753*(24/23)</f>
        <v>0.024999989785620607</v>
      </c>
      <c r="O56" s="10">
        <f>(L56-L55)/L55</f>
        <v>-0.0999999999999999</v>
      </c>
      <c r="P56" s="11">
        <f>L56/0.08523</f>
        <v>0.28666899187003797</v>
      </c>
      <c r="Q56" s="11">
        <f>L56/0.075055</f>
        <v>0.32553191895387834</v>
      </c>
      <c r="R56" s="4">
        <f>(C56*J56/240)/G56</f>
        <v>40</v>
      </c>
      <c r="S56" s="18">
        <f>R56/0.2447529*(24/23)</f>
        <v>170.53579522360147</v>
      </c>
      <c r="T56" s="42">
        <f>1/R56</f>
        <v>0.025</v>
      </c>
      <c r="U56" s="42">
        <f>T56/2</f>
        <v>0.0125</v>
      </c>
    </row>
    <row r="57" spans="1:21" ht="12.75">
      <c r="A57" s="40" t="s">
        <v>24</v>
      </c>
      <c r="B57" t="s">
        <v>132</v>
      </c>
      <c r="C57" s="39">
        <v>10</v>
      </c>
      <c r="D57" s="43">
        <f>244.7529/C57</f>
        <v>24.47529</v>
      </c>
      <c r="E57">
        <v>12</v>
      </c>
      <c r="F57">
        <v>0</v>
      </c>
      <c r="G57" s="2">
        <f>(E57/12)+(F57/24/12)</f>
        <v>1</v>
      </c>
      <c r="H57" s="3">
        <f>G57*(23/24)</f>
        <v>0.9583333333333334</v>
      </c>
      <c r="I57" s="2">
        <f>(244.7529/C57)*H57</f>
        <v>23.455486250000003</v>
      </c>
      <c r="J57">
        <f>6*240</f>
        <v>1440</v>
      </c>
      <c r="K57" s="37">
        <f>J57/240</f>
        <v>6</v>
      </c>
      <c r="L57" s="3">
        <f>I57/J57</f>
        <v>0.016288532118055556</v>
      </c>
      <c r="M57" s="39">
        <f>L57*240</f>
        <v>3.9092477083333335</v>
      </c>
      <c r="N57" s="45">
        <f>M57/244.753*(24/23)</f>
        <v>0.016666659857080404</v>
      </c>
      <c r="O57" s="10">
        <f>(L57-L56)/L56</f>
        <v>-0.33333333333333337</v>
      </c>
      <c r="P57" s="11">
        <f>L57/0.08523</f>
        <v>0.19111266124669196</v>
      </c>
      <c r="Q57" s="11">
        <f>L57/0.075055</f>
        <v>0.21702127930258552</v>
      </c>
      <c r="R57" s="4">
        <f>(C57*J57/240)/G57</f>
        <v>60</v>
      </c>
      <c r="S57" s="18">
        <f>R57/0.2447529*(24/23)</f>
        <v>255.80369283540222</v>
      </c>
      <c r="T57" s="42">
        <f>1/R57</f>
        <v>0.016666666666666666</v>
      </c>
      <c r="U57" s="42">
        <f>T57/2</f>
        <v>0.008333333333333333</v>
      </c>
    </row>
    <row r="58" spans="1:21" ht="12.75">
      <c r="A58" s="40" t="s">
        <v>28</v>
      </c>
      <c r="B58" t="s">
        <v>178</v>
      </c>
      <c r="C58" s="39">
        <v>65.5</v>
      </c>
      <c r="D58" s="43">
        <f>244.7529/C58</f>
        <v>3.736685496183206</v>
      </c>
      <c r="E58">
        <v>12</v>
      </c>
      <c r="F58">
        <v>0</v>
      </c>
      <c r="G58" s="2">
        <f>(E58/12)+(F58/24/12)</f>
        <v>1</v>
      </c>
      <c r="H58" s="3">
        <f>G58*(23/24)</f>
        <v>0.9583333333333334</v>
      </c>
      <c r="I58" s="2">
        <f>(244.7529/C58)*H58</f>
        <v>3.5809902671755727</v>
      </c>
      <c r="J58">
        <v>240</v>
      </c>
      <c r="K58" s="37">
        <f>J58/240</f>
        <v>1</v>
      </c>
      <c r="L58" s="3">
        <f>I58/J58</f>
        <v>0.01492079277989822</v>
      </c>
      <c r="M58" s="39">
        <f>L58*240</f>
        <v>3.5809902671755727</v>
      </c>
      <c r="N58" s="45">
        <f>M58/244.753*(24/23)</f>
        <v>0.015267169334730142</v>
      </c>
      <c r="O58" s="10">
        <f>(L58-L57)/L57</f>
        <v>-0.08396946564885498</v>
      </c>
      <c r="P58" s="11">
        <f>L58/0.08523</f>
        <v>0.17506503320307662</v>
      </c>
      <c r="Q58" s="11">
        <f>L58/0.075055</f>
        <v>0.19879811844511652</v>
      </c>
      <c r="R58" s="4">
        <f>(C58*J58/240)/G58</f>
        <v>65.5</v>
      </c>
      <c r="S58" s="18">
        <f>R58/0.2447529*(24/23)</f>
        <v>279.25236467864744</v>
      </c>
      <c r="T58" s="42">
        <f>1/R58</f>
        <v>0.015267175572519083</v>
      </c>
      <c r="U58" s="42">
        <f>T58/2</f>
        <v>0.007633587786259542</v>
      </c>
    </row>
    <row r="59" spans="1:21" ht="12.75">
      <c r="A59" s="40" t="s">
        <v>21</v>
      </c>
      <c r="B59" t="s">
        <v>213</v>
      </c>
      <c r="C59" s="39">
        <v>30</v>
      </c>
      <c r="D59" s="43">
        <f>244.7529/C59</f>
        <v>8.158430000000001</v>
      </c>
      <c r="E59">
        <v>12</v>
      </c>
      <c r="F59">
        <v>0</v>
      </c>
      <c r="G59" s="2">
        <f>(E59/12)+(F59/24/12)</f>
        <v>1</v>
      </c>
      <c r="H59" s="3">
        <f>G59*(23/24)</f>
        <v>0.9583333333333334</v>
      </c>
      <c r="I59" s="2">
        <f>(244.7529/C59)*H59</f>
        <v>7.818495416666668</v>
      </c>
      <c r="J59">
        <f>3*240</f>
        <v>720</v>
      </c>
      <c r="K59" s="37">
        <f>J59/240</f>
        <v>3</v>
      </c>
      <c r="L59" s="3">
        <f>I59/J59</f>
        <v>0.010859021412037038</v>
      </c>
      <c r="M59" s="39">
        <f>L59*240</f>
        <v>2.606165138888889</v>
      </c>
      <c r="N59" s="45">
        <f>M59/244.753*(24/23)</f>
        <v>0.011111106571386939</v>
      </c>
      <c r="O59" s="10">
        <f>(L59-L58)/L58</f>
        <v>-0.2722222222222222</v>
      </c>
      <c r="P59" s="11">
        <f>L59/0.08523</f>
        <v>0.12740844083112798</v>
      </c>
      <c r="Q59" s="11">
        <f>L59/0.075055</f>
        <v>0.14468085286839036</v>
      </c>
      <c r="R59" s="4">
        <f>(C59*J59/240)/G59</f>
        <v>90</v>
      </c>
      <c r="S59" s="18">
        <f>R59/0.2447529*(24/23)</f>
        <v>383.7055392531033</v>
      </c>
      <c r="T59" s="42">
        <f>1/R59</f>
        <v>0.011111111111111112</v>
      </c>
      <c r="U59" s="42">
        <f>T59/2</f>
        <v>0.005555555555555556</v>
      </c>
    </row>
    <row r="60" spans="1:21" ht="12.75">
      <c r="A60" s="40" t="s">
        <v>26</v>
      </c>
      <c r="B60" t="s">
        <v>129</v>
      </c>
      <c r="C60" s="39">
        <v>10</v>
      </c>
      <c r="D60" s="43">
        <f>244.7529/C60</f>
        <v>24.47529</v>
      </c>
      <c r="E60">
        <v>12</v>
      </c>
      <c r="F60">
        <v>0</v>
      </c>
      <c r="G60" s="2">
        <f>(E60/12)+(F60/24/12)</f>
        <v>1</v>
      </c>
      <c r="H60" s="3">
        <f>G60*(23/24)</f>
        <v>0.9583333333333334</v>
      </c>
      <c r="I60" s="2">
        <f>(244.7529/C60)*H60</f>
        <v>23.455486250000003</v>
      </c>
      <c r="J60">
        <f>9*240</f>
        <v>2160</v>
      </c>
      <c r="K60" s="37">
        <f>J60/240</f>
        <v>9</v>
      </c>
      <c r="L60" s="3">
        <f>I60/J60</f>
        <v>0.010859021412037038</v>
      </c>
      <c r="M60" s="39">
        <f>L60*240</f>
        <v>2.606165138888889</v>
      </c>
      <c r="N60" s="45">
        <f>M60/244.753*(24/23)</f>
        <v>0.011111106571386939</v>
      </c>
      <c r="O60" s="10">
        <f>(L60-L59)/L59</f>
        <v>0</v>
      </c>
      <c r="P60" s="11">
        <f>L60/0.08523</f>
        <v>0.12740844083112798</v>
      </c>
      <c r="Q60" s="11">
        <f>L60/0.075055</f>
        <v>0.14468085286839036</v>
      </c>
      <c r="R60" s="4">
        <f>(C60*J60/240)/G60</f>
        <v>90</v>
      </c>
      <c r="S60" s="18">
        <f>R60/0.2447529*(24/23)</f>
        <v>383.7055392531033</v>
      </c>
      <c r="T60" s="42">
        <f>1/R60</f>
        <v>0.011111111111111112</v>
      </c>
      <c r="U60" s="42">
        <f>T60/2</f>
        <v>0.005555555555555556</v>
      </c>
    </row>
    <row r="61" spans="1:21" ht="12.75">
      <c r="A61" s="40" t="s">
        <v>27</v>
      </c>
      <c r="B61" t="s">
        <v>122</v>
      </c>
      <c r="C61" s="39">
        <f>10+3/8</f>
        <v>10.375</v>
      </c>
      <c r="D61" s="43">
        <f>244.7529/C61</f>
        <v>23.590640963855424</v>
      </c>
      <c r="E61">
        <v>12</v>
      </c>
      <c r="F61">
        <v>0</v>
      </c>
      <c r="G61" s="2">
        <f>(E61/12)+(F61/24/12)</f>
        <v>1</v>
      </c>
      <c r="H61" s="3">
        <f>G61*(23/24)</f>
        <v>0.9583333333333334</v>
      </c>
      <c r="I61" s="2">
        <f>(244.7529/C61)*H61</f>
        <v>22.60769759036145</v>
      </c>
      <c r="J61">
        <f>4*240</f>
        <v>960</v>
      </c>
      <c r="K61" s="37">
        <f>J61/240</f>
        <v>4</v>
      </c>
      <c r="L61" s="3">
        <f>I61/J61</f>
        <v>0.023549684989959845</v>
      </c>
      <c r="M61" s="39">
        <f>L61*240</f>
        <v>5.651924397590363</v>
      </c>
      <c r="N61" s="45">
        <f>M61/244.753*(24/23)</f>
        <v>0.024096375696983724</v>
      </c>
      <c r="O61" s="10">
        <f>(L61-L60)/L60</f>
        <v>1.168674698795181</v>
      </c>
      <c r="P61" s="11">
        <f>L61/0.08523</f>
        <v>0.2763074620434101</v>
      </c>
      <c r="Q61" s="11">
        <f>L61/0.075055</f>
        <v>0.3137657050157864</v>
      </c>
      <c r="R61" s="4">
        <f>(C61*J61/240)/G61</f>
        <v>41.5</v>
      </c>
      <c r="S61" s="18">
        <f>R61/0.2447529*(24/23)</f>
        <v>176.93088754448652</v>
      </c>
      <c r="T61" s="42">
        <f>1/R61</f>
        <v>0.024096385542168676</v>
      </c>
      <c r="U61" s="42">
        <f>T61/2</f>
        <v>0.012048192771084338</v>
      </c>
    </row>
    <row r="62" spans="1:21" ht="12.75">
      <c r="A62" s="40" t="s">
        <v>20</v>
      </c>
      <c r="B62" t="s">
        <v>131</v>
      </c>
      <c r="C62" s="39">
        <v>8.3</v>
      </c>
      <c r="D62" s="43">
        <f>244.7529/C62</f>
        <v>29.488301204819276</v>
      </c>
      <c r="E62">
        <v>12</v>
      </c>
      <c r="F62">
        <v>0</v>
      </c>
      <c r="G62" s="2">
        <f>(E62/12)+(F62/24/12)</f>
        <v>1</v>
      </c>
      <c r="H62" s="3">
        <f>G62*(23/24)</f>
        <v>0.9583333333333334</v>
      </c>
      <c r="I62" s="2">
        <f>(244.7529/C62)*H62</f>
        <v>28.259621987951807</v>
      </c>
      <c r="J62">
        <f>5*240</f>
        <v>1200</v>
      </c>
      <c r="K62" s="37">
        <f>J62/240</f>
        <v>5</v>
      </c>
      <c r="L62" s="3">
        <f>I62/J62</f>
        <v>0.023549684989959838</v>
      </c>
      <c r="M62" s="39">
        <f>L62*240</f>
        <v>5.651924397590361</v>
      </c>
      <c r="N62" s="45">
        <f>M62/244.753*(24/23)</f>
        <v>0.024096375696983714</v>
      </c>
      <c r="O62" s="10">
        <f>(L62-L61)/L61</f>
        <v>0</v>
      </c>
      <c r="P62" s="11">
        <f>L62/0.08523</f>
        <v>0.27630746204341006</v>
      </c>
      <c r="Q62" s="11">
        <f>L62/0.075055</f>
        <v>0.31376570501578627</v>
      </c>
      <c r="R62" s="4">
        <f>(C62*J62/240)/G62</f>
        <v>41.5</v>
      </c>
      <c r="S62" s="18">
        <f>R62/0.2447529*(24/23)</f>
        <v>176.93088754448652</v>
      </c>
      <c r="T62" s="42">
        <f>1/R62</f>
        <v>0.024096385542168676</v>
      </c>
      <c r="U62" s="42">
        <f>T62/2</f>
        <v>0.012048192771084338</v>
      </c>
    </row>
    <row r="63" spans="1:21" ht="12.75">
      <c r="A63" s="40" t="s">
        <v>16</v>
      </c>
      <c r="B63" t="s">
        <v>123</v>
      </c>
      <c r="C63" s="39">
        <v>8.3</v>
      </c>
      <c r="D63" s="43">
        <f>244.7529/C63</f>
        <v>29.488301204819276</v>
      </c>
      <c r="E63">
        <v>12</v>
      </c>
      <c r="F63">
        <v>0</v>
      </c>
      <c r="G63" s="2">
        <f>(E63/12)+(F63/24/12)</f>
        <v>1</v>
      </c>
      <c r="H63" s="3">
        <f>G63*(23/24)</f>
        <v>0.9583333333333334</v>
      </c>
      <c r="I63" s="2">
        <f>(244.7529/C63)*H63</f>
        <v>28.259621987951807</v>
      </c>
      <c r="J63">
        <f>6*240</f>
        <v>1440</v>
      </c>
      <c r="K63" s="37">
        <f>J63/240</f>
        <v>6</v>
      </c>
      <c r="L63" s="3">
        <f>I63/J63</f>
        <v>0.0196247374916332</v>
      </c>
      <c r="M63" s="39">
        <f>L63*240</f>
        <v>4.709936997991968</v>
      </c>
      <c r="N63" s="45">
        <f>M63/244.753*(24/23)</f>
        <v>0.020080313080819766</v>
      </c>
      <c r="O63" s="10">
        <f>(L63-L62)/L62</f>
        <v>-0.16666666666666663</v>
      </c>
      <c r="P63" s="11">
        <f>L63/0.08523</f>
        <v>0.23025621836950838</v>
      </c>
      <c r="Q63" s="11">
        <f>L63/0.075055</f>
        <v>0.26147142084648856</v>
      </c>
      <c r="R63" s="4">
        <f>(C63*J63/240)/G63</f>
        <v>49.800000000000004</v>
      </c>
      <c r="S63" s="18">
        <f>R63/0.2447529*(24/23)</f>
        <v>212.31706505338386</v>
      </c>
      <c r="T63" s="42">
        <f>1/R63</f>
        <v>0.020080321285140562</v>
      </c>
      <c r="U63" s="42">
        <f>T63/2</f>
        <v>0.010040160642570281</v>
      </c>
    </row>
    <row r="64" spans="1:21" ht="12.75">
      <c r="A64" s="40" t="s">
        <v>17</v>
      </c>
      <c r="B64" t="s">
        <v>123</v>
      </c>
      <c r="C64" s="39">
        <v>8.3</v>
      </c>
      <c r="D64" s="43">
        <f>244.7529/C64</f>
        <v>29.488301204819276</v>
      </c>
      <c r="E64">
        <v>12</v>
      </c>
      <c r="F64">
        <f>-F64</f>
        <v>0</v>
      </c>
      <c r="G64" s="2">
        <f>(E64/12)+(F64/24/12)</f>
        <v>1</v>
      </c>
      <c r="H64" s="3">
        <f>G64*(23/24)</f>
        <v>0.9583333333333334</v>
      </c>
      <c r="I64" s="2">
        <f>(244.7529/C64)*H64</f>
        <v>28.259621987951807</v>
      </c>
      <c r="J64">
        <f>6*240</f>
        <v>1440</v>
      </c>
      <c r="K64" s="37">
        <f>J64/240</f>
        <v>6</v>
      </c>
      <c r="L64" s="3">
        <f>I64/J64</f>
        <v>0.0196247374916332</v>
      </c>
      <c r="M64" s="39">
        <f>L64*240</f>
        <v>4.709936997991968</v>
      </c>
      <c r="N64" s="45">
        <f>M64/244.753*(24/23)</f>
        <v>0.020080313080819766</v>
      </c>
      <c r="O64" s="10">
        <f>(L64-L63)/L63</f>
        <v>0</v>
      </c>
      <c r="P64" s="11">
        <f>L64/0.08523</f>
        <v>0.23025621836950838</v>
      </c>
      <c r="Q64" s="11">
        <f>L64/0.075055</f>
        <v>0.26147142084648856</v>
      </c>
      <c r="R64" s="4">
        <f>(C64*J64/240)/G64</f>
        <v>49.800000000000004</v>
      </c>
      <c r="S64" s="18">
        <f>R64/0.2447529*(24/23)</f>
        <v>212.31706505338386</v>
      </c>
      <c r="T64" s="42">
        <f>1/R64</f>
        <v>0.020080321285140562</v>
      </c>
      <c r="U64" s="42">
        <f>T64/2</f>
        <v>0.010040160642570281</v>
      </c>
    </row>
    <row r="65" spans="1:21" ht="12.75">
      <c r="A65" s="40" t="s">
        <v>18</v>
      </c>
      <c r="B65" t="s">
        <v>135</v>
      </c>
      <c r="C65" s="39">
        <v>8.3</v>
      </c>
      <c r="D65" s="43">
        <f>244.7529/C65</f>
        <v>29.488301204819276</v>
      </c>
      <c r="E65">
        <v>12</v>
      </c>
      <c r="F65">
        <v>0</v>
      </c>
      <c r="G65" s="2">
        <f>(E65/12)+(F65/24/12)</f>
        <v>1</v>
      </c>
      <c r="H65" s="3">
        <f>G65*(23/24)</f>
        <v>0.9583333333333334</v>
      </c>
      <c r="I65" s="2">
        <f>(244.7529/C65)*H65</f>
        <v>28.259621987951807</v>
      </c>
      <c r="J65">
        <f>6*240</f>
        <v>1440</v>
      </c>
      <c r="K65" s="37">
        <f>J65/240</f>
        <v>6</v>
      </c>
      <c r="L65" s="3">
        <f>I65/J65</f>
        <v>0.0196247374916332</v>
      </c>
      <c r="M65" s="39">
        <f>L65*240</f>
        <v>4.709936997991968</v>
      </c>
      <c r="N65" s="45">
        <f>M65/244.753*(24/23)</f>
        <v>0.020080313080819766</v>
      </c>
      <c r="O65" s="10">
        <f>(L65-L64)/L64</f>
        <v>0</v>
      </c>
      <c r="P65" s="11">
        <f>L65/0.08523</f>
        <v>0.23025621836950838</v>
      </c>
      <c r="Q65" s="11">
        <f>L65/0.075055</f>
        <v>0.26147142084648856</v>
      </c>
      <c r="R65" s="4">
        <f>(C65*J65/240)/G65</f>
        <v>49.800000000000004</v>
      </c>
      <c r="S65" s="18">
        <f>R65/0.2447529*(24/23)</f>
        <v>212.31706505338386</v>
      </c>
      <c r="T65" s="42">
        <f>1/R65</f>
        <v>0.020080321285140562</v>
      </c>
      <c r="U65" s="42">
        <f>T65/2</f>
        <v>0.010040160642570281</v>
      </c>
    </row>
    <row r="66" spans="1:21" ht="12.75">
      <c r="A66" s="40" t="s">
        <v>98</v>
      </c>
      <c r="B66" t="s">
        <v>131</v>
      </c>
      <c r="C66" s="39">
        <v>8.3</v>
      </c>
      <c r="D66" s="43">
        <f>244.7529/C66</f>
        <v>29.488301204819276</v>
      </c>
      <c r="E66">
        <v>12</v>
      </c>
      <c r="F66">
        <v>0</v>
      </c>
      <c r="G66" s="2">
        <f>(E66/12)+(F66/24/12)</f>
        <v>1</v>
      </c>
      <c r="H66" s="3">
        <f>G66*(23/24)</f>
        <v>0.9583333333333334</v>
      </c>
      <c r="I66" s="2">
        <f>(244.7529/C66)*H66</f>
        <v>28.259621987951807</v>
      </c>
      <c r="J66">
        <f>6*240</f>
        <v>1440</v>
      </c>
      <c r="K66" s="37">
        <f>J66/240</f>
        <v>6</v>
      </c>
      <c r="L66" s="3">
        <f>I66/J66</f>
        <v>0.0196247374916332</v>
      </c>
      <c r="M66" s="39">
        <f>L66*240</f>
        <v>4.709936997991968</v>
      </c>
      <c r="N66" s="45">
        <f>M66/244.753*(24/23)</f>
        <v>0.020080313080819766</v>
      </c>
      <c r="O66" s="10">
        <f>(L66-L65)/L65</f>
        <v>0</v>
      </c>
      <c r="P66" s="11">
        <f>L66/0.08523</f>
        <v>0.23025621836950838</v>
      </c>
      <c r="Q66" s="11">
        <f>L66/0.075055</f>
        <v>0.26147142084648856</v>
      </c>
      <c r="R66" s="4">
        <f>(C66*J66/240)/G66</f>
        <v>49.800000000000004</v>
      </c>
      <c r="S66" s="18">
        <f>R66/0.2447529*(24/23)</f>
        <v>212.31706505338386</v>
      </c>
      <c r="T66" s="42">
        <f>1/R66</f>
        <v>0.020080321285140562</v>
      </c>
      <c r="U66" s="42">
        <f>T66/2</f>
        <v>0.010040160642570281</v>
      </c>
    </row>
    <row r="67" spans="1:21" ht="12.75">
      <c r="A67" s="40" t="s">
        <v>19</v>
      </c>
      <c r="B67" t="s">
        <v>125</v>
      </c>
      <c r="C67" s="39">
        <v>8.3</v>
      </c>
      <c r="D67" s="43">
        <f>244.7529/C67</f>
        <v>29.488301204819276</v>
      </c>
      <c r="E67">
        <v>12</v>
      </c>
      <c r="F67">
        <v>0</v>
      </c>
      <c r="G67" s="2">
        <f>(E67/12)+(F67/24/12)</f>
        <v>1</v>
      </c>
      <c r="H67" s="3">
        <f>G67*(23/24)</f>
        <v>0.9583333333333334</v>
      </c>
      <c r="I67" s="2">
        <f>(244.7529/C67)*H67</f>
        <v>28.259621987951807</v>
      </c>
      <c r="J67">
        <f>6*240</f>
        <v>1440</v>
      </c>
      <c r="K67" s="37">
        <f>J67/240</f>
        <v>6</v>
      </c>
      <c r="L67" s="3">
        <f>I67/J67</f>
        <v>0.0196247374916332</v>
      </c>
      <c r="M67" s="39">
        <f>L67*240</f>
        <v>4.709936997991968</v>
      </c>
      <c r="N67" s="45">
        <f>M67/244.753*(24/23)</f>
        <v>0.020080313080819766</v>
      </c>
      <c r="O67" s="10">
        <f>(L67-L66)/L66</f>
        <v>0</v>
      </c>
      <c r="P67" s="11">
        <f>L67/0.08523</f>
        <v>0.23025621836950838</v>
      </c>
      <c r="Q67" s="11">
        <f>L67/0.075055</f>
        <v>0.26147142084648856</v>
      </c>
      <c r="R67" s="4">
        <f>(C67*J67/240)/G67</f>
        <v>49.800000000000004</v>
      </c>
      <c r="S67" s="18">
        <f>R67/0.2447529*(24/23)</f>
        <v>212.31706505338386</v>
      </c>
      <c r="T67" s="42">
        <f>1/R67</f>
        <v>0.020080321285140562</v>
      </c>
      <c r="U67" s="42">
        <f>T67/2</f>
        <v>0.010040160642570281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64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A7" sqref="A7"/>
    </sheetView>
  </sheetViews>
  <sheetFormatPr defaultColWidth="9.140625" defaultRowHeight="12.75"/>
  <cols>
    <col min="1" max="1" width="11.28125" style="56" customWidth="1"/>
    <col min="2" max="2" width="16.7109375" style="0" customWidth="1"/>
    <col min="3" max="3" width="9.57421875" style="4" customWidth="1"/>
    <col min="4" max="4" width="11.8515625" style="0" customWidth="1"/>
    <col min="5" max="5" width="9.00390625" style="13" customWidth="1"/>
    <col min="6" max="6" width="10.28125" style="21" customWidth="1"/>
    <col min="7" max="7" width="10.7109375" style="21" customWidth="1"/>
    <col min="8" max="8" width="9.00390625" style="0" customWidth="1"/>
    <col min="9" max="9" width="7.28125" style="0" customWidth="1"/>
    <col min="10" max="10" width="9.140625" style="0" customWidth="1"/>
    <col min="11" max="11" width="12.7109375" style="21" customWidth="1"/>
    <col min="12" max="12" width="10.421875" style="21" customWidth="1"/>
    <col min="13" max="13" width="10.421875" style="0" customWidth="1"/>
    <col min="14" max="14" width="8.140625" style="0" customWidth="1"/>
    <col min="15" max="15" width="10.7109375" style="10" customWidth="1"/>
    <col min="16" max="16" width="12.7109375" style="35" customWidth="1"/>
    <col min="17" max="17" width="10.8515625" style="10" customWidth="1"/>
    <col min="18" max="18" width="11.140625" style="0" customWidth="1"/>
  </cols>
  <sheetData>
    <row r="1" spans="1:17" ht="12.75">
      <c r="A1" s="56"/>
      <c r="B1" s="1"/>
      <c r="C1" s="8" t="s">
        <v>150</v>
      </c>
      <c r="D1" s="25"/>
      <c r="E1" s="15"/>
      <c r="F1" s="21"/>
      <c r="G1" s="21"/>
      <c r="H1" s="28"/>
      <c r="I1" s="28"/>
      <c r="J1" s="2"/>
      <c r="K1" s="32"/>
      <c r="L1" s="32"/>
      <c r="M1" s="21"/>
      <c r="N1" s="4"/>
      <c r="O1" s="10"/>
      <c r="P1" s="35"/>
      <c r="Q1" s="10"/>
    </row>
    <row r="2" spans="1:17" ht="12.75">
      <c r="A2" s="56"/>
      <c r="B2" s="1"/>
      <c r="C2" s="4"/>
      <c r="D2" s="25"/>
      <c r="E2" s="15"/>
      <c r="F2" s="21"/>
      <c r="G2" s="21"/>
      <c r="H2" s="28"/>
      <c r="I2" s="28"/>
      <c r="J2" s="2"/>
      <c r="K2" s="32"/>
      <c r="L2" s="32"/>
      <c r="M2" s="21"/>
      <c r="N2" s="4"/>
      <c r="O2" s="10"/>
      <c r="P2" s="35"/>
      <c r="Q2" s="10"/>
    </row>
    <row r="3" spans="1:18" ht="12.75">
      <c r="A3" s="56" t="s">
        <v>109</v>
      </c>
      <c r="B3" s="9" t="s">
        <v>200</v>
      </c>
      <c r="C3" s="8" t="s">
        <v>145</v>
      </c>
      <c r="D3" s="26" t="s">
        <v>145</v>
      </c>
      <c r="E3" s="27" t="s">
        <v>230</v>
      </c>
      <c r="F3" s="22" t="s">
        <v>244</v>
      </c>
      <c r="G3" s="22" t="s">
        <v>156</v>
      </c>
      <c r="H3" s="29" t="s">
        <v>206</v>
      </c>
      <c r="I3" s="29" t="s">
        <v>239</v>
      </c>
      <c r="J3" s="6" t="s">
        <v>240</v>
      </c>
      <c r="K3" s="33" t="s">
        <v>156</v>
      </c>
      <c r="L3" s="22" t="s">
        <v>241</v>
      </c>
      <c r="M3" s="22" t="s">
        <v>241</v>
      </c>
      <c r="N3" s="8" t="s">
        <v>170</v>
      </c>
      <c r="O3" s="31" t="s">
        <v>210</v>
      </c>
      <c r="P3" s="34" t="s">
        <v>211</v>
      </c>
      <c r="Q3" s="31" t="s">
        <v>210</v>
      </c>
      <c r="R3" s="5" t="s">
        <v>107</v>
      </c>
    </row>
    <row r="4" spans="1:17" ht="12.75">
      <c r="A4" s="56" t="s">
        <v>171</v>
      </c>
      <c r="B4" s="9" t="s">
        <v>205</v>
      </c>
      <c r="C4" s="8" t="s">
        <v>165</v>
      </c>
      <c r="D4" s="26" t="s">
        <v>102</v>
      </c>
      <c r="E4" s="27" t="s">
        <v>198</v>
      </c>
      <c r="F4" s="22" t="s">
        <v>106</v>
      </c>
      <c r="G4" s="22" t="s">
        <v>215</v>
      </c>
      <c r="H4" s="29" t="s">
        <v>164</v>
      </c>
      <c r="I4" s="29" t="s">
        <v>100</v>
      </c>
      <c r="J4" s="6" t="s">
        <v>110</v>
      </c>
      <c r="K4" s="33" t="s">
        <v>216</v>
      </c>
      <c r="L4" s="22" t="s">
        <v>199</v>
      </c>
      <c r="M4" s="22" t="s">
        <v>35</v>
      </c>
      <c r="N4" s="8" t="s">
        <v>40</v>
      </c>
      <c r="O4" s="31" t="s">
        <v>224</v>
      </c>
      <c r="P4" s="34" t="s">
        <v>224</v>
      </c>
      <c r="Q4" s="31" t="s">
        <v>105</v>
      </c>
    </row>
    <row r="5" spans="1:17" ht="12.75">
      <c r="A5" s="56"/>
      <c r="B5" s="9"/>
      <c r="C5" s="8"/>
      <c r="D5" s="26" t="s">
        <v>203</v>
      </c>
      <c r="E5" s="27" t="s">
        <v>238</v>
      </c>
      <c r="F5" s="22" t="s">
        <v>154</v>
      </c>
      <c r="G5" s="22" t="s">
        <v>166</v>
      </c>
      <c r="H5" s="29" t="s">
        <v>226</v>
      </c>
      <c r="I5" s="29" t="s">
        <v>209</v>
      </c>
      <c r="J5" s="6" t="s">
        <v>214</v>
      </c>
      <c r="K5" s="33" t="s">
        <v>3</v>
      </c>
      <c r="L5" s="22" t="s">
        <v>3</v>
      </c>
      <c r="M5" s="22" t="s">
        <v>3</v>
      </c>
      <c r="N5" s="8">
        <v>100</v>
      </c>
      <c r="O5" s="31" t="s">
        <v>167</v>
      </c>
      <c r="P5" s="34" t="s">
        <v>1</v>
      </c>
      <c r="Q5" s="31" t="s">
        <v>169</v>
      </c>
    </row>
    <row r="6" spans="1:17" ht="12.75">
      <c r="A6" s="56"/>
      <c r="B6" s="1"/>
      <c r="C6" s="4"/>
      <c r="D6" s="25"/>
      <c r="E6" s="15"/>
      <c r="F6" s="21"/>
      <c r="G6" s="21"/>
      <c r="H6" s="28"/>
      <c r="I6" s="28"/>
      <c r="J6" s="2"/>
      <c r="K6" s="32"/>
      <c r="L6" s="32"/>
      <c r="M6" s="21"/>
      <c r="N6" s="4"/>
      <c r="O6" s="10"/>
      <c r="P6" s="35"/>
      <c r="Q6" s="10"/>
    </row>
    <row r="7" spans="1:17" ht="12.75">
      <c r="A7" s="56" t="s">
        <v>41</v>
      </c>
      <c r="B7" s="1" t="s">
        <v>126</v>
      </c>
      <c r="C7" s="4">
        <v>24</v>
      </c>
      <c r="D7" s="25">
        <f>C7/24</f>
        <v>1</v>
      </c>
      <c r="E7" s="15">
        <v>70</v>
      </c>
      <c r="F7" s="21">
        <f>244.7529/E7</f>
        <v>3.49647</v>
      </c>
      <c r="G7" s="21">
        <f>F7*D7</f>
        <v>3.49647</v>
      </c>
      <c r="H7" s="28">
        <v>25</v>
      </c>
      <c r="I7" s="28">
        <v>0</v>
      </c>
      <c r="J7" s="2">
        <f>(H7+(I7/12))/20</f>
        <v>1.25</v>
      </c>
      <c r="K7" s="32">
        <f>(1/J7)*G7</f>
        <v>2.7971760000000003</v>
      </c>
      <c r="L7" s="21">
        <f>(J7*E7)/D7</f>
        <v>87.5</v>
      </c>
      <c r="M7" s="21">
        <f>1/0.2447529*L7</f>
        <v>357.50342488281035</v>
      </c>
      <c r="N7" s="4"/>
      <c r="O7" s="10"/>
      <c r="P7" s="35"/>
      <c r="Q7" s="10"/>
    </row>
    <row r="8" spans="1:17" ht="12.75">
      <c r="A8" s="56" t="s">
        <v>42</v>
      </c>
      <c r="B8" t="s">
        <v>126</v>
      </c>
      <c r="C8" s="4">
        <v>23.125</v>
      </c>
      <c r="D8" s="25">
        <f>C8/24</f>
        <v>0.9635416666666666</v>
      </c>
      <c r="E8" s="13">
        <v>71</v>
      </c>
      <c r="F8" s="21">
        <f>244.7529/E8</f>
        <v>3.447223943661972</v>
      </c>
      <c r="G8" s="21">
        <f>F8*D8</f>
        <v>3.3215439040492956</v>
      </c>
      <c r="H8">
        <v>27</v>
      </c>
      <c r="I8">
        <v>6</v>
      </c>
      <c r="J8" s="2">
        <f>(H8+(I8/12))/20</f>
        <v>1.375</v>
      </c>
      <c r="K8" s="32">
        <f>(1/J8)*G8</f>
        <v>2.4156682938540333</v>
      </c>
      <c r="L8" s="21">
        <f>(J8*E8)/D8</f>
        <v>101.31891891891892</v>
      </c>
      <c r="M8" s="21">
        <f>1/0.2447529*L8</f>
        <v>413.9641202164261</v>
      </c>
      <c r="O8" s="10">
        <f>(G8-G7)/G7</f>
        <v>-0.05002934272300475</v>
      </c>
      <c r="P8" s="35">
        <f>(K8-K7)/K7</f>
        <v>-0.13639031156636802</v>
      </c>
      <c r="Q8" s="10">
        <f>(M8-M7)/M7</f>
        <v>0.15793050193050204</v>
      </c>
    </row>
    <row r="9" spans="1:17" ht="12.75">
      <c r="A9" s="56" t="s">
        <v>43</v>
      </c>
      <c r="B9" t="s">
        <v>126</v>
      </c>
      <c r="C9" s="4">
        <v>23.125</v>
      </c>
      <c r="D9" s="25">
        <f>C9/24</f>
        <v>0.9635416666666666</v>
      </c>
      <c r="E9" s="13">
        <v>72</v>
      </c>
      <c r="F9" s="21">
        <f>244.7529/E9</f>
        <v>3.3993458333333333</v>
      </c>
      <c r="G9" s="21">
        <f>F9*D9</f>
        <v>3.275411349826389</v>
      </c>
      <c r="H9">
        <v>30</v>
      </c>
      <c r="I9">
        <v>3</v>
      </c>
      <c r="J9" s="2">
        <f>(H9+(I9/12))/20</f>
        <v>1.5125</v>
      </c>
      <c r="K9" s="32">
        <f>(1/J9)*G9</f>
        <v>2.1655612230257115</v>
      </c>
      <c r="L9" s="21">
        <f>(J9*E9)/D9</f>
        <v>113.02054054054054</v>
      </c>
      <c r="M9" s="21">
        <f>1/0.2447529*L9</f>
        <v>461.7740608611401</v>
      </c>
      <c r="O9" s="10">
        <f>(G9-G8)/G8</f>
        <v>-0.013888888888888846</v>
      </c>
      <c r="P9" s="35">
        <f>(K9-K8)/K8</f>
        <v>-0.10353535353535358</v>
      </c>
      <c r="Q9" s="10">
        <f>(M9-M8)/M8</f>
        <v>0.11549295774647873</v>
      </c>
    </row>
    <row r="10" spans="1:17" ht="12.75">
      <c r="A10" s="56" t="s">
        <v>44</v>
      </c>
      <c r="B10" t="s">
        <v>137</v>
      </c>
      <c r="C10" s="4">
        <v>23.125</v>
      </c>
      <c r="D10" s="25">
        <f>C10/24</f>
        <v>0.9635416666666666</v>
      </c>
      <c r="E10" s="13">
        <v>70</v>
      </c>
      <c r="F10" s="21">
        <f>244.7529/E10</f>
        <v>3.49647</v>
      </c>
      <c r="G10" s="21">
        <f>F10*D10</f>
        <v>3.36899453125</v>
      </c>
      <c r="H10">
        <v>33</v>
      </c>
      <c r="I10">
        <v>0</v>
      </c>
      <c r="J10" s="2">
        <f>(H10+(I10/12))/20</f>
        <v>1.65</v>
      </c>
      <c r="K10" s="32">
        <f>(1/J10)*G10</f>
        <v>2.0418148674242422</v>
      </c>
      <c r="L10" s="21">
        <f>(J10*E10)/D10</f>
        <v>119.87027027027027</v>
      </c>
      <c r="M10" s="21">
        <f>1/0.2447529*L10</f>
        <v>489.7603675799971</v>
      </c>
      <c r="O10" s="10">
        <f>(G10-G9)/G9</f>
        <v>0.028571428571428536</v>
      </c>
      <c r="P10" s="35">
        <f>(K10-K9)/K9</f>
        <v>-0.05714285714285717</v>
      </c>
      <c r="Q10" s="10">
        <f>(M10-M9)/M9</f>
        <v>0.060606060606060684</v>
      </c>
    </row>
    <row r="11" spans="1:17" ht="12.75">
      <c r="A11" s="56" t="s">
        <v>46</v>
      </c>
      <c r="B11" t="s">
        <v>137</v>
      </c>
      <c r="C11" s="4">
        <v>23.125</v>
      </c>
      <c r="D11" s="25">
        <f>C11/24</f>
        <v>0.9635416666666666</v>
      </c>
      <c r="E11" s="13">
        <v>70</v>
      </c>
      <c r="F11" s="21">
        <f>244.7529/E11</f>
        <v>3.49647</v>
      </c>
      <c r="G11" s="21">
        <f>F11*D11</f>
        <v>3.36899453125</v>
      </c>
      <c r="H11">
        <v>36</v>
      </c>
      <c r="I11">
        <v>3</v>
      </c>
      <c r="J11" s="2">
        <f>(H11+(I11/12))/20</f>
        <v>1.8125</v>
      </c>
      <c r="K11" s="32">
        <f>(1/J11)*G11</f>
        <v>1.8587556034482757</v>
      </c>
      <c r="L11" s="21">
        <f>(J11*E11)/D11</f>
        <v>131.67567567567568</v>
      </c>
      <c r="M11" s="21">
        <f>1/0.2447529*L11</f>
        <v>537.9943431749969</v>
      </c>
      <c r="O11" s="10">
        <f>(G11-G10)/G10</f>
        <v>0</v>
      </c>
      <c r="P11" s="35">
        <f>(K11-K10)/K10</f>
        <v>-0.08965517241379309</v>
      </c>
      <c r="Q11" s="10">
        <f>(M11-M10)/M10</f>
        <v>0.09848484848484862</v>
      </c>
    </row>
    <row r="12" spans="1:17" ht="12.75">
      <c r="A12" s="56" t="s">
        <v>48</v>
      </c>
      <c r="B12" t="s">
        <v>133</v>
      </c>
      <c r="C12" s="4">
        <v>23.125</v>
      </c>
      <c r="D12" s="25">
        <f>C12/24</f>
        <v>0.9635416666666666</v>
      </c>
      <c r="E12" s="13">
        <v>70</v>
      </c>
      <c r="F12" s="21">
        <f>244.7529/E12</f>
        <v>3.49647</v>
      </c>
      <c r="G12" s="21">
        <f>F12*D12</f>
        <v>3.36899453125</v>
      </c>
      <c r="H12">
        <v>36</v>
      </c>
      <c r="I12">
        <v>3</v>
      </c>
      <c r="J12" s="2">
        <f>(H12+(I12/12))/20</f>
        <v>1.8125</v>
      </c>
      <c r="K12" s="32">
        <f>(1/J12)*G12</f>
        <v>1.8587556034482757</v>
      </c>
      <c r="L12" s="21">
        <f>(J12*E12)/D12</f>
        <v>131.67567567567568</v>
      </c>
      <c r="M12" s="21">
        <f>1/0.2447529*L12</f>
        <v>537.9943431749969</v>
      </c>
      <c r="O12" s="10">
        <f>(G12-G11)/G11</f>
        <v>0</v>
      </c>
      <c r="P12" s="35">
        <f>(K12-K11)/K11</f>
        <v>0</v>
      </c>
      <c r="Q12" s="10">
        <f>(M12-M11)/M11</f>
        <v>0</v>
      </c>
    </row>
    <row r="13" spans="1:17" ht="12.75">
      <c r="A13" s="56" t="s">
        <v>49</v>
      </c>
      <c r="B13" t="s">
        <v>137</v>
      </c>
      <c r="C13" s="4">
        <v>23.125</v>
      </c>
      <c r="D13" s="25">
        <f>C13/24</f>
        <v>0.9635416666666666</v>
      </c>
      <c r="E13" s="13">
        <v>70</v>
      </c>
      <c r="F13" s="21">
        <f>244.7529/E13</f>
        <v>3.49647</v>
      </c>
      <c r="G13" s="21">
        <f>F13*D13</f>
        <v>3.36899453125</v>
      </c>
      <c r="H13">
        <v>36</v>
      </c>
      <c r="I13">
        <v>3</v>
      </c>
      <c r="J13" s="2">
        <f>(H13+(I13/12))/20</f>
        <v>1.8125</v>
      </c>
      <c r="K13" s="32">
        <f>(1/J13)*G13</f>
        <v>1.8587556034482757</v>
      </c>
      <c r="L13" s="21">
        <f>(J13*E13)/D13</f>
        <v>131.67567567567568</v>
      </c>
      <c r="M13" s="21">
        <f>1/0.2447529*L13</f>
        <v>537.9943431749969</v>
      </c>
      <c r="O13" s="10">
        <f>(G13-G12)/G12</f>
        <v>0</v>
      </c>
      <c r="P13" s="35">
        <f>(K13-K12)/K12</f>
        <v>0</v>
      </c>
      <c r="Q13" s="10">
        <f>(M13-M12)/M12</f>
        <v>0</v>
      </c>
    </row>
    <row r="14" spans="1:17" ht="12.75">
      <c r="A14" s="56" t="s">
        <v>51</v>
      </c>
      <c r="B14" t="s">
        <v>137</v>
      </c>
      <c r="C14" s="4">
        <v>22.75</v>
      </c>
      <c r="D14" s="25">
        <f>C14/24</f>
        <v>0.9479166666666666</v>
      </c>
      <c r="E14" s="13">
        <v>71.5</v>
      </c>
      <c r="F14" s="21">
        <f>244.7529/E14</f>
        <v>3.423117482517483</v>
      </c>
      <c r="G14" s="21">
        <f>F14*D14</f>
        <v>3.2448301136363638</v>
      </c>
      <c r="H14">
        <v>36</v>
      </c>
      <c r="I14">
        <v>3</v>
      </c>
      <c r="J14" s="2">
        <f>(H14+(I14/12))/20</f>
        <v>1.8125</v>
      </c>
      <c r="K14" s="32">
        <f>(1/J14)*G14</f>
        <v>1.7902510971786834</v>
      </c>
      <c r="L14" s="21">
        <f>(J14*E14)/D14</f>
        <v>136.71428571428572</v>
      </c>
      <c r="M14" s="21">
        <f>1/0.2447529*L14</f>
        <v>558.580861408734</v>
      </c>
      <c r="O14" s="10">
        <f>(G14-G13)/G13</f>
        <v>-0.036855036855036764</v>
      </c>
      <c r="P14" s="35">
        <f>(K14-K13)/K13</f>
        <v>-0.0368550368550368</v>
      </c>
      <c r="Q14" s="10">
        <f>(M14-M13)/M13</f>
        <v>0.038265306122449</v>
      </c>
    </row>
    <row r="15" spans="1:17" ht="12.75">
      <c r="A15" s="56" t="s">
        <v>52</v>
      </c>
      <c r="B15" t="s">
        <v>137</v>
      </c>
      <c r="C15" s="4">
        <v>23</v>
      </c>
      <c r="D15" s="25">
        <f>C15/24</f>
        <v>0.9583333333333334</v>
      </c>
      <c r="E15" s="13">
        <f>71+(1/6)</f>
        <v>71.16666666666667</v>
      </c>
      <c r="F15" s="21">
        <f>244.7529/E15</f>
        <v>3.439150819672131</v>
      </c>
      <c r="G15" s="21">
        <f>F15*D15</f>
        <v>3.2958528688524593</v>
      </c>
      <c r="H15">
        <v>40</v>
      </c>
      <c r="I15">
        <v>0</v>
      </c>
      <c r="J15" s="2">
        <f>(H15+(I15/12))/20</f>
        <v>2</v>
      </c>
      <c r="K15" s="32">
        <f>(1/J15)*G15</f>
        <v>1.6479264344262297</v>
      </c>
      <c r="L15" s="21">
        <f>(J15*E15)/D15</f>
        <v>148.52173913043478</v>
      </c>
      <c r="M15" s="21">
        <f>1/0.2447529*L15</f>
        <v>606.8232046706486</v>
      </c>
      <c r="O15" s="10">
        <f>(G15-G14)/G14</f>
        <v>0.015724322515891658</v>
      </c>
      <c r="P15" s="35">
        <f>(K15-K14)/K14</f>
        <v>-0.07949983271997314</v>
      </c>
      <c r="Q15" s="10">
        <f>(M15-M14)/M14</f>
        <v>0.08636590795511324</v>
      </c>
    </row>
    <row r="16" spans="1:17" ht="12.75">
      <c r="A16" s="56" t="s">
        <v>55</v>
      </c>
      <c r="B16" t="s">
        <v>127</v>
      </c>
      <c r="C16" s="4">
        <v>23</v>
      </c>
      <c r="D16" s="25">
        <f>C16/24</f>
        <v>0.9583333333333334</v>
      </c>
      <c r="E16" s="13">
        <f>71+(1/6)</f>
        <v>71.16666666666667</v>
      </c>
      <c r="F16" s="21">
        <f>244.7529/E16</f>
        <v>3.439150819672131</v>
      </c>
      <c r="G16" s="21">
        <f>F16*D16</f>
        <v>3.2958528688524593</v>
      </c>
      <c r="H16">
        <v>45</v>
      </c>
      <c r="I16">
        <v>0</v>
      </c>
      <c r="J16" s="2">
        <f>(H16+(I16/12))/20</f>
        <v>2.25</v>
      </c>
      <c r="K16" s="32">
        <f>(1/J16)*G16</f>
        <v>1.4648234972677596</v>
      </c>
      <c r="L16" s="21">
        <f>(J16*E16)/D16</f>
        <v>167.08695652173913</v>
      </c>
      <c r="M16" s="21">
        <f>1/0.2447529*L16</f>
        <v>682.6761052544796</v>
      </c>
      <c r="O16" s="10">
        <f>(G16-G15)/G15</f>
        <v>0</v>
      </c>
      <c r="P16" s="35">
        <f>(K16-K15)/K15</f>
        <v>-0.11111111111111116</v>
      </c>
      <c r="Q16" s="10">
        <f>(M16-M15)/M15</f>
        <v>0.12499999999999989</v>
      </c>
    </row>
    <row r="17" spans="1:17" ht="12.75">
      <c r="A17" s="56" t="s">
        <v>56</v>
      </c>
      <c r="B17" t="s">
        <v>163</v>
      </c>
      <c r="C17" s="4">
        <v>23</v>
      </c>
      <c r="D17" s="25">
        <f>C17/24</f>
        <v>0.9583333333333334</v>
      </c>
      <c r="E17" s="13">
        <v>67</v>
      </c>
      <c r="F17" s="21">
        <f>244.7529/E17</f>
        <v>3.6530283582089553</v>
      </c>
      <c r="G17" s="21">
        <f>F17*D17</f>
        <v>3.5008188432835823</v>
      </c>
      <c r="H17">
        <v>50</v>
      </c>
      <c r="I17">
        <v>0</v>
      </c>
      <c r="J17" s="2">
        <f>(H17+(I17/12))/20</f>
        <v>2.5</v>
      </c>
      <c r="K17" s="32">
        <f>(1/J17)*G17</f>
        <v>1.400327537313433</v>
      </c>
      <c r="L17" s="21">
        <f>(J17*E17)/D17</f>
        <v>174.78260869565216</v>
      </c>
      <c r="M17" s="21">
        <f>1/0.2447529*L17</f>
        <v>714.118642498831</v>
      </c>
      <c r="O17" s="10">
        <f>(G17-G16)/G16</f>
        <v>0.06218905472636812</v>
      </c>
      <c r="P17" s="35">
        <f>(K17-K16)/K16</f>
        <v>-0.04402985074626861</v>
      </c>
      <c r="Q17" s="10">
        <f>(M17-M16)/M16</f>
        <v>0.046057767369242684</v>
      </c>
    </row>
    <row r="18" spans="1:17" ht="12.75">
      <c r="A18" s="56" t="s">
        <v>57</v>
      </c>
      <c r="B18" t="s">
        <v>128</v>
      </c>
      <c r="C18" s="4">
        <v>23</v>
      </c>
      <c r="D18" s="25">
        <f>C18/24</f>
        <v>0.9583333333333334</v>
      </c>
      <c r="E18" s="13">
        <v>72.5</v>
      </c>
      <c r="F18" s="21">
        <f>244.7529/E18</f>
        <v>3.3759020689655173</v>
      </c>
      <c r="G18" s="21">
        <f>F18*D18</f>
        <v>3.2352394827586206</v>
      </c>
      <c r="H18">
        <v>50</v>
      </c>
      <c r="I18">
        <v>0</v>
      </c>
      <c r="J18" s="2">
        <f>(H18+(I18/12))/20</f>
        <v>2.5</v>
      </c>
      <c r="K18" s="32">
        <f>(1/J18)*G18</f>
        <v>1.2940957931034482</v>
      </c>
      <c r="L18" s="21">
        <f>(J18*E18)/D18</f>
        <v>189.1304347826087</v>
      </c>
      <c r="M18" s="21">
        <f>1/0.2447529*L18</f>
        <v>772.7403221069442</v>
      </c>
      <c r="O18" s="10">
        <f>(G18-G17)/G17</f>
        <v>-0.07586206896551731</v>
      </c>
      <c r="P18" s="35">
        <f>(K18-K17)/K17</f>
        <v>-0.07586206896551734</v>
      </c>
      <c r="Q18" s="10">
        <f>(M18-M17)/M17</f>
        <v>0.08208955223880618</v>
      </c>
    </row>
    <row r="19" spans="1:17" ht="12.75">
      <c r="A19" s="56" t="s">
        <v>58</v>
      </c>
      <c r="B19" t="s">
        <v>128</v>
      </c>
      <c r="C19" s="4">
        <v>23</v>
      </c>
      <c r="D19" s="25">
        <f>C19/24</f>
        <v>0.9583333333333334</v>
      </c>
      <c r="E19" s="13">
        <v>72.5</v>
      </c>
      <c r="F19" s="21">
        <f>244.7529/E19</f>
        <v>3.3759020689655173</v>
      </c>
      <c r="G19" s="21">
        <f>F19*D19</f>
        <v>3.2352394827586206</v>
      </c>
      <c r="H19">
        <v>54</v>
      </c>
      <c r="I19">
        <v>0</v>
      </c>
      <c r="J19" s="2">
        <f>(H19+(I19/12))/20</f>
        <v>2.7</v>
      </c>
      <c r="K19" s="32">
        <f>(1/J19)*G19</f>
        <v>1.1982368454661556</v>
      </c>
      <c r="L19" s="21">
        <f>(J19*E19)/D19</f>
        <v>204.26086956521738</v>
      </c>
      <c r="M19" s="21">
        <f>1/0.2447529*L19</f>
        <v>834.5595478754997</v>
      </c>
      <c r="O19" s="10">
        <f>(G19-G18)/G18</f>
        <v>0</v>
      </c>
      <c r="P19" s="35">
        <f>(K19-K18)/K18</f>
        <v>-0.07407407407407421</v>
      </c>
      <c r="Q19" s="10">
        <f>(M19-M18)/M18</f>
        <v>0.07999999999999995</v>
      </c>
    </row>
    <row r="20" spans="1:17" ht="12.75">
      <c r="A20" s="56" t="s">
        <v>59</v>
      </c>
      <c r="B20" t="s">
        <v>128</v>
      </c>
      <c r="C20" s="4">
        <v>23</v>
      </c>
      <c r="D20" s="25">
        <f>C20/24</f>
        <v>0.9583333333333334</v>
      </c>
      <c r="E20" s="13">
        <v>72.5</v>
      </c>
      <c r="F20" s="21">
        <f>244.7529/E20</f>
        <v>3.3759020689655173</v>
      </c>
      <c r="G20" s="21">
        <f>F20*D20</f>
        <v>3.2352394827586206</v>
      </c>
      <c r="H20">
        <v>60</v>
      </c>
      <c r="I20">
        <v>0</v>
      </c>
      <c r="J20" s="2">
        <f>(H20+(I20/12))/20</f>
        <v>3</v>
      </c>
      <c r="K20" s="32">
        <f>(1/J20)*G20</f>
        <v>1.0784131609195402</v>
      </c>
      <c r="L20" s="21">
        <f>(J20*E20)/D20</f>
        <v>226.95652173913044</v>
      </c>
      <c r="M20" s="21">
        <f>1/0.2447529*L20</f>
        <v>927.288386528333</v>
      </c>
      <c r="O20" s="10">
        <f>(G20-G19)/G19</f>
        <v>0</v>
      </c>
      <c r="P20" s="35">
        <f>(K20-K19)/K19</f>
        <v>-0.09999999999999987</v>
      </c>
      <c r="Q20" s="10">
        <f>(M20-M19)/M19</f>
        <v>0.11111111111111119</v>
      </c>
    </row>
    <row r="21" spans="1:17" ht="12.75">
      <c r="A21" s="56" t="s">
        <v>60</v>
      </c>
      <c r="B21" t="s">
        <v>128</v>
      </c>
      <c r="C21" s="4">
        <v>23</v>
      </c>
      <c r="D21" s="25">
        <f>C21/24</f>
        <v>0.9583333333333334</v>
      </c>
      <c r="E21" s="13">
        <v>72.5</v>
      </c>
      <c r="F21" s="21">
        <f>244.7529/E21</f>
        <v>3.3759020689655173</v>
      </c>
      <c r="G21" s="21">
        <f>F21*D21</f>
        <v>3.2352394827586206</v>
      </c>
      <c r="H21">
        <v>60</v>
      </c>
      <c r="I21">
        <v>0</v>
      </c>
      <c r="J21" s="2">
        <f>(H21+(I21/12))/20</f>
        <v>3</v>
      </c>
      <c r="K21" s="32">
        <f>(1/J21)*G21</f>
        <v>1.0784131609195402</v>
      </c>
      <c r="L21" s="21">
        <f>(J21*E21)/D21</f>
        <v>226.95652173913044</v>
      </c>
      <c r="M21" s="21">
        <f>1/0.2447529*L21</f>
        <v>927.288386528333</v>
      </c>
      <c r="O21" s="10">
        <f>(G21-G20)/G20</f>
        <v>0</v>
      </c>
      <c r="P21" s="35">
        <f>(K21-K20)/K20</f>
        <v>0</v>
      </c>
      <c r="Q21" s="10">
        <f>(M21-M20)/M20</f>
        <v>0</v>
      </c>
    </row>
    <row r="22" spans="1:17" ht="12.75">
      <c r="A22" s="56" t="s">
        <v>61</v>
      </c>
      <c r="B22" t="s">
        <v>128</v>
      </c>
      <c r="C22" s="4">
        <v>23</v>
      </c>
      <c r="D22" s="25">
        <f>C22/24</f>
        <v>0.9583333333333334</v>
      </c>
      <c r="E22" s="13">
        <v>72.5</v>
      </c>
      <c r="F22" s="21">
        <f>244.7529/E22</f>
        <v>3.3759020689655173</v>
      </c>
      <c r="G22" s="21">
        <f>F22*D22</f>
        <v>3.2352394827586206</v>
      </c>
      <c r="H22">
        <v>65</v>
      </c>
      <c r="I22">
        <v>0</v>
      </c>
      <c r="J22" s="2">
        <f>(H22+(I22/12))/20</f>
        <v>3.25</v>
      </c>
      <c r="K22" s="32">
        <f>(1/J22)*G22</f>
        <v>0.995458302387268</v>
      </c>
      <c r="L22" s="21">
        <f>(J22*E22)/D22</f>
        <v>245.86956521739128</v>
      </c>
      <c r="M22" s="21">
        <f>1/0.2447529*L22</f>
        <v>1004.5624187390273</v>
      </c>
      <c r="O22" s="10">
        <f>(G22-G21)/G21</f>
        <v>0</v>
      </c>
      <c r="P22" s="35">
        <f>(K22-K21)/K21</f>
        <v>-0.07692307692307686</v>
      </c>
      <c r="Q22" s="10">
        <f>(M22-M21)/M21</f>
        <v>0.08333333333333316</v>
      </c>
    </row>
    <row r="23" spans="1:17" ht="12.75">
      <c r="A23" s="56" t="s">
        <v>62</v>
      </c>
      <c r="B23" t="s">
        <v>128</v>
      </c>
      <c r="C23" s="4">
        <v>23</v>
      </c>
      <c r="D23" s="25">
        <f>C23/24</f>
        <v>0.9583333333333334</v>
      </c>
      <c r="E23" s="13">
        <v>72.5</v>
      </c>
      <c r="F23" s="21">
        <f>244.7529/E23</f>
        <v>3.3759020689655173</v>
      </c>
      <c r="G23" s="21">
        <f>F23*D23</f>
        <v>3.2352394827586206</v>
      </c>
      <c r="H23">
        <v>104</v>
      </c>
      <c r="I23">
        <v>0</v>
      </c>
      <c r="J23" s="2">
        <f>(H23+(I23/12))/20</f>
        <v>5.2</v>
      </c>
      <c r="K23" s="32">
        <f>(1/J23)*G23</f>
        <v>0.6221614389920423</v>
      </c>
      <c r="L23" s="21">
        <f>(J23*E23)/D23</f>
        <v>393.39130434782606</v>
      </c>
      <c r="M23" s="21">
        <f>1/0.2447529*L23</f>
        <v>1607.2998699824439</v>
      </c>
      <c r="O23" s="10">
        <f>(G23-G22)/G22</f>
        <v>0</v>
      </c>
      <c r="P23" s="35">
        <f>(K23-K22)/K22</f>
        <v>-0.3750000000000001</v>
      </c>
      <c r="Q23" s="10">
        <f>(M23-M22)/M22</f>
        <v>0.6000000000000002</v>
      </c>
    </row>
    <row r="24" spans="1:17" ht="12.75">
      <c r="A24" s="56" t="s">
        <v>62</v>
      </c>
      <c r="B24" t="s">
        <v>187</v>
      </c>
      <c r="C24" s="4">
        <v>22</v>
      </c>
      <c r="D24" s="25">
        <f>C24/24</f>
        <v>0.9166666666666666</v>
      </c>
      <c r="E24" s="13">
        <v>36.25</v>
      </c>
      <c r="F24" s="21">
        <f>244.7529/E24</f>
        <v>6.7518041379310345</v>
      </c>
      <c r="G24" s="21">
        <f>F24*D24</f>
        <v>6.189153793103448</v>
      </c>
      <c r="H24">
        <v>200</v>
      </c>
      <c r="I24">
        <v>0</v>
      </c>
      <c r="J24" s="2">
        <f>(H24+(I24/12))/20</f>
        <v>10</v>
      </c>
      <c r="K24" s="32">
        <f>(1/J24)*G24</f>
        <v>0.6189153793103448</v>
      </c>
      <c r="L24" s="21">
        <f>(J24*E24)/D24</f>
        <v>395.4545454545455</v>
      </c>
      <c r="M24" s="21">
        <f>1/0.2447529*L24</f>
        <v>1615.7297644054288</v>
      </c>
      <c r="O24" s="10">
        <f>(G24-G23)/G23</f>
        <v>0.9130434782608695</v>
      </c>
      <c r="P24" s="35">
        <f>(K24-K23)/K23</f>
        <v>-0.0052173913043477346</v>
      </c>
      <c r="Q24" s="10">
        <f>(M24-M23)/M23</f>
        <v>0.005244755244755306</v>
      </c>
    </row>
    <row r="25" spans="1:17" ht="12.75">
      <c r="A25" s="56" t="s">
        <v>63</v>
      </c>
      <c r="B25" t="s">
        <v>128</v>
      </c>
      <c r="C25" s="4">
        <v>23</v>
      </c>
      <c r="D25" s="25">
        <f>C25/24</f>
        <v>0.9583333333333334</v>
      </c>
      <c r="E25" s="13">
        <v>72.5</v>
      </c>
      <c r="F25" s="21">
        <f>244.7529/E25</f>
        <v>3.3759020689655173</v>
      </c>
      <c r="G25" s="21">
        <f>F25*D25</f>
        <v>3.2352394827586206</v>
      </c>
      <c r="H25">
        <v>104</v>
      </c>
      <c r="I25">
        <v>5</v>
      </c>
      <c r="J25" s="2">
        <f>(H25+(I25/12))/20</f>
        <v>5.220833333333333</v>
      </c>
      <c r="K25" s="32">
        <f>(1/J25)*G25</f>
        <v>0.6196787516856097</v>
      </c>
      <c r="L25" s="21">
        <f>(J25*E25)/D25</f>
        <v>394.9673913043478</v>
      </c>
      <c r="M25" s="21">
        <f>1/0.2447529*L25</f>
        <v>1613.7393726666683</v>
      </c>
      <c r="O25" s="10">
        <f>(G25-G24)/G24</f>
        <v>-0.47727272727272724</v>
      </c>
      <c r="P25" s="35">
        <f>(K25-K24)/K24</f>
        <v>0.0012334034680403932</v>
      </c>
      <c r="Q25" s="10">
        <f>(M25-M24)/M24</f>
        <v>-0.0012318840579711538</v>
      </c>
    </row>
    <row r="26" spans="1:17" ht="12.75">
      <c r="A26" s="56" t="s">
        <v>64</v>
      </c>
      <c r="B26" t="s">
        <v>187</v>
      </c>
      <c r="C26" s="4">
        <v>22</v>
      </c>
      <c r="D26" s="25">
        <f>C26/24</f>
        <v>0.9166666666666666</v>
      </c>
      <c r="E26" s="13">
        <v>36.25</v>
      </c>
      <c r="F26" s="21">
        <f>244.7529/E26</f>
        <v>6.7518041379310345</v>
      </c>
      <c r="G26" s="21">
        <f>F26*D26</f>
        <v>6.189153793103448</v>
      </c>
      <c r="H26">
        <v>200</v>
      </c>
      <c r="I26">
        <v>0</v>
      </c>
      <c r="J26" s="2">
        <f>(H26+(I26/12))/20</f>
        <v>10</v>
      </c>
      <c r="K26" s="32">
        <f>(1/J26)*G26</f>
        <v>0.6189153793103448</v>
      </c>
      <c r="L26" s="21">
        <f>(J26*E26)/D26</f>
        <v>395.4545454545455</v>
      </c>
      <c r="M26" s="21">
        <f>1/0.2447529*L26</f>
        <v>1615.7297644054288</v>
      </c>
      <c r="O26" s="10">
        <f>(G26-G25)/G25</f>
        <v>0.9130434782608695</v>
      </c>
      <c r="P26" s="35">
        <f>(K26-K25)/K25</f>
        <v>-0.001231884057971068</v>
      </c>
      <c r="Q26" s="10">
        <f>(M26-M25)/M25</f>
        <v>0.0012334034680404793</v>
      </c>
    </row>
    <row r="27" spans="1:17" ht="12.75">
      <c r="A27" s="56" t="s">
        <v>65</v>
      </c>
      <c r="B27" t="s">
        <v>176</v>
      </c>
      <c r="C27" s="4">
        <v>23.25</v>
      </c>
      <c r="D27" s="25">
        <f>C27/24</f>
        <v>0.96875</v>
      </c>
      <c r="E27" s="13">
        <v>60.25</v>
      </c>
      <c r="F27" s="21">
        <f>244.7529/E27</f>
        <v>4.062288796680498</v>
      </c>
      <c r="G27" s="21">
        <f>F27*D27</f>
        <v>3.935342271784233</v>
      </c>
      <c r="H27">
        <v>140</v>
      </c>
      <c r="I27">
        <v>0</v>
      </c>
      <c r="J27" s="2">
        <f>(H27+(I27/12))/20</f>
        <v>7</v>
      </c>
      <c r="K27" s="32">
        <f>(1/J27)*G27</f>
        <v>0.5621917531120332</v>
      </c>
      <c r="L27" s="21">
        <f>(J27*E27)/D27</f>
        <v>435.35483870967744</v>
      </c>
      <c r="M27" s="21">
        <f>1/0.2447529*L27</f>
        <v>1778.7525243201508</v>
      </c>
      <c r="O27" s="10">
        <f>(G27-G26)/G26</f>
        <v>-0.36415503583553366</v>
      </c>
      <c r="P27" s="35">
        <f>(K27-K26)/K26</f>
        <v>-0.09165005119361963</v>
      </c>
      <c r="Q27" s="10">
        <f>(M27-M26)/M26</f>
        <v>0.10089729328883942</v>
      </c>
    </row>
    <row r="28" spans="1:17" ht="12.75">
      <c r="A28" s="56" t="s">
        <v>66</v>
      </c>
      <c r="B28" t="s">
        <v>187</v>
      </c>
      <c r="C28" s="4">
        <v>22</v>
      </c>
      <c r="D28" s="25">
        <f>C28/24</f>
        <v>0.9166666666666666</v>
      </c>
      <c r="E28" s="13">
        <v>36.25</v>
      </c>
      <c r="F28" s="21">
        <f>244.7529/E28</f>
        <v>6.7518041379310345</v>
      </c>
      <c r="G28" s="21">
        <f>F28*D28</f>
        <v>6.189153793103448</v>
      </c>
      <c r="H28">
        <v>200</v>
      </c>
      <c r="I28">
        <v>0</v>
      </c>
      <c r="J28" s="2">
        <f>(H28+(I28/12))/20</f>
        <v>10</v>
      </c>
      <c r="K28" s="32">
        <f>(1/J28)*G28</f>
        <v>0.6189153793103448</v>
      </c>
      <c r="L28" s="21">
        <f>(J28*E28)/D28</f>
        <v>395.4545454545455</v>
      </c>
      <c r="M28" s="21">
        <f>1/0.2447529*L28</f>
        <v>1615.7297644054288</v>
      </c>
      <c r="O28" s="10">
        <f>(G28-G27)/G27</f>
        <v>0.5727104189840561</v>
      </c>
      <c r="P28" s="35">
        <f>(K28-K27)/K27</f>
        <v>0.10089729328883942</v>
      </c>
      <c r="Q28" s="10">
        <f>(M28-M27)/M27</f>
        <v>-0.09165005119361963</v>
      </c>
    </row>
    <row r="29" spans="1:17" ht="12.75">
      <c r="A29" s="56" t="s">
        <v>67</v>
      </c>
      <c r="B29" t="s">
        <v>187</v>
      </c>
      <c r="C29" s="4">
        <v>22</v>
      </c>
      <c r="D29" s="25">
        <f>C29/24</f>
        <v>0.9166666666666666</v>
      </c>
      <c r="E29" s="13">
        <v>36.25</v>
      </c>
      <c r="F29" s="21">
        <f>244.7529/E29</f>
        <v>6.7518041379310345</v>
      </c>
      <c r="G29" s="21">
        <f>F29*D29</f>
        <v>6.189153793103448</v>
      </c>
      <c r="H29">
        <v>220</v>
      </c>
      <c r="I29">
        <v>0</v>
      </c>
      <c r="J29" s="2">
        <f>(H29+(I29/12))/20</f>
        <v>11</v>
      </c>
      <c r="K29" s="32">
        <f>(1/J29)*G29</f>
        <v>0.5626503448275862</v>
      </c>
      <c r="L29" s="21">
        <f>(J29*E29)/D29</f>
        <v>435</v>
      </c>
      <c r="M29" s="21">
        <f>1/0.2447529*L29</f>
        <v>1777.3027408459716</v>
      </c>
      <c r="O29" s="10">
        <f>(G29-G28)/G28</f>
        <v>0</v>
      </c>
      <c r="P29" s="35">
        <f>(K29-K28)/K28</f>
        <v>-0.0909090909090908</v>
      </c>
      <c r="Q29" s="10">
        <f>(M29-M28)/M28</f>
        <v>0.09999999999999995</v>
      </c>
    </row>
    <row r="30" spans="1:17" ht="12.75">
      <c r="A30" s="56" t="s">
        <v>68</v>
      </c>
      <c r="B30" t="s">
        <v>187</v>
      </c>
      <c r="C30" s="4">
        <v>22</v>
      </c>
      <c r="D30" s="25">
        <f>C30/24</f>
        <v>0.9166666666666666</v>
      </c>
      <c r="E30" s="13">
        <v>36.25</v>
      </c>
      <c r="F30" s="21">
        <f>244.7529/E30</f>
        <v>6.7518041379310345</v>
      </c>
      <c r="G30" s="21">
        <f>F30*D30</f>
        <v>6.189153793103448</v>
      </c>
      <c r="H30">
        <v>225</v>
      </c>
      <c r="I30">
        <v>0</v>
      </c>
      <c r="J30" s="2">
        <f>(H30+(I30/12))/20</f>
        <v>11.25</v>
      </c>
      <c r="K30" s="32">
        <f>(1/J30)*G30</f>
        <v>0.5501470038314176</v>
      </c>
      <c r="L30" s="21">
        <f>(J30*E30)/D30</f>
        <v>444.8863636363636</v>
      </c>
      <c r="M30" s="21">
        <f>1/0.2447529*L30</f>
        <v>1817.6959849561072</v>
      </c>
      <c r="O30" s="10">
        <f>(G30-G29)/G29</f>
        <v>0</v>
      </c>
      <c r="P30" s="35">
        <f>(K30-K29)/K29</f>
        <v>-0.02222222222222239</v>
      </c>
      <c r="Q30" s="10">
        <f>(M30-M29)/M29</f>
        <v>0.02272727272727265</v>
      </c>
    </row>
    <row r="31" spans="1:17" ht="12.75">
      <c r="A31" s="56" t="s">
        <v>69</v>
      </c>
      <c r="B31" t="s">
        <v>181</v>
      </c>
      <c r="C31" s="4">
        <v>22</v>
      </c>
      <c r="D31" s="25">
        <f>C31/24</f>
        <v>0.9166666666666666</v>
      </c>
      <c r="E31" s="13">
        <v>36.25</v>
      </c>
      <c r="F31" s="21">
        <f>244.7529/E31</f>
        <v>6.7518041379310345</v>
      </c>
      <c r="G31" s="21">
        <f>F31*D31</f>
        <v>6.189153793103448</v>
      </c>
      <c r="H31">
        <v>250</v>
      </c>
      <c r="I31">
        <v>0</v>
      </c>
      <c r="J31" s="2">
        <f>(H31+(I31/12))/20</f>
        <v>12.5</v>
      </c>
      <c r="K31" s="32">
        <f>(1/J31)*G31</f>
        <v>0.49513230344827586</v>
      </c>
      <c r="L31" s="21">
        <f>(J31*E31)/D31</f>
        <v>494.3181818181818</v>
      </c>
      <c r="M31" s="21">
        <f>1/0.2447529*L31</f>
        <v>2019.6622055067858</v>
      </c>
      <c r="O31" s="10">
        <f>(G31-G30)/G30</f>
        <v>0</v>
      </c>
      <c r="P31" s="35">
        <f>(K31-K30)/K30</f>
        <v>-0.09999999999999992</v>
      </c>
      <c r="Q31" s="10">
        <f>(M31-M30)/M30</f>
        <v>0.11111111111111112</v>
      </c>
    </row>
    <row r="32" spans="1:17" ht="12.75">
      <c r="A32" s="56" t="s">
        <v>70</v>
      </c>
      <c r="B32" t="s">
        <v>183</v>
      </c>
      <c r="C32" s="4">
        <v>22</v>
      </c>
      <c r="D32" s="25">
        <f>C32/24</f>
        <v>0.9166666666666666</v>
      </c>
      <c r="E32" s="13">
        <v>36.25</v>
      </c>
      <c r="F32" s="21">
        <f>244.7529/E32</f>
        <v>6.7518041379310345</v>
      </c>
      <c r="G32" s="21">
        <f>F32*D32</f>
        <v>6.189153793103448</v>
      </c>
      <c r="H32">
        <v>280</v>
      </c>
      <c r="I32">
        <v>0</v>
      </c>
      <c r="J32" s="2">
        <f>(H32+(I32/12))/20</f>
        <v>14</v>
      </c>
      <c r="K32" s="32">
        <f>(1/J32)*G32</f>
        <v>0.4420824137931034</v>
      </c>
      <c r="L32" s="21">
        <f>(J32*E32)/D32</f>
        <v>553.6363636363636</v>
      </c>
      <c r="M32" s="21">
        <f>1/0.2447529*L32</f>
        <v>2262.0216701676</v>
      </c>
      <c r="O32" s="10">
        <f>(G32-G31)/G31</f>
        <v>0</v>
      </c>
      <c r="P32" s="35">
        <f>(K32-K31)/K31</f>
        <v>-0.10714285714285718</v>
      </c>
      <c r="Q32" s="10">
        <f>(M32-M31)/M31</f>
        <v>0.11999999999999994</v>
      </c>
    </row>
    <row r="33" spans="1:17" ht="12.75">
      <c r="A33" s="56" t="s">
        <v>71</v>
      </c>
      <c r="B33" t="s">
        <v>184</v>
      </c>
      <c r="C33" s="4">
        <v>22</v>
      </c>
      <c r="D33" s="25">
        <f>C33/24</f>
        <v>0.9166666666666666</v>
      </c>
      <c r="E33" s="13">
        <v>36.25</v>
      </c>
      <c r="F33" s="21">
        <f>244.7529/E33</f>
        <v>6.7518041379310345</v>
      </c>
      <c r="G33" s="21">
        <f>F33*D33</f>
        <v>6.189153793103448</v>
      </c>
      <c r="H33">
        <v>280</v>
      </c>
      <c r="I33">
        <v>0</v>
      </c>
      <c r="J33" s="2">
        <f>(H33+(I33/12))/20</f>
        <v>14</v>
      </c>
      <c r="K33" s="32">
        <f>(1/J33)*G33</f>
        <v>0.4420824137931034</v>
      </c>
      <c r="L33" s="21">
        <f>(J33*E33)/D33</f>
        <v>553.6363636363636</v>
      </c>
      <c r="M33" s="21">
        <f>1/0.2447529*L33</f>
        <v>2262.0216701676</v>
      </c>
      <c r="O33" s="10">
        <f>(G33-G32)/G32</f>
        <v>0</v>
      </c>
      <c r="P33" s="35">
        <f>(K33-K32)/K32</f>
        <v>0</v>
      </c>
      <c r="Q33" s="10">
        <f>(M33-M32)/M32</f>
        <v>0</v>
      </c>
    </row>
    <row r="34" spans="1:17" ht="12.75">
      <c r="A34" s="56" t="s">
        <v>72</v>
      </c>
      <c r="B34" t="s">
        <v>187</v>
      </c>
      <c r="C34" s="4">
        <v>22</v>
      </c>
      <c r="D34" s="25">
        <f>C34/24</f>
        <v>0.9166666666666666</v>
      </c>
      <c r="E34" s="13">
        <v>36.25</v>
      </c>
      <c r="F34" s="21">
        <f>244.7529/E34</f>
        <v>6.7518041379310345</v>
      </c>
      <c r="G34" s="21">
        <f>F34*D34</f>
        <v>6.189153793103448</v>
      </c>
      <c r="H34">
        <v>300</v>
      </c>
      <c r="I34">
        <v>0</v>
      </c>
      <c r="J34" s="2">
        <f>(H34+(I34/12))/20</f>
        <v>15</v>
      </c>
      <c r="K34" s="32">
        <f>(1/J34)*G34</f>
        <v>0.4126102528735632</v>
      </c>
      <c r="L34" s="21">
        <f>(J34*E34)/D34</f>
        <v>593.1818181818182</v>
      </c>
      <c r="M34" s="21">
        <f>1/0.2447529*L34</f>
        <v>2423.594646608143</v>
      </c>
      <c r="O34" s="10">
        <f>(G34-G33)/G33</f>
        <v>0</v>
      </c>
      <c r="P34" s="35">
        <f>(K34-K33)/K33</f>
        <v>-0.06666666666666671</v>
      </c>
      <c r="Q34" s="10">
        <f>(M34-M33)/M33</f>
        <v>0.0714285714285716</v>
      </c>
    </row>
    <row r="35" spans="1:17" ht="12.75">
      <c r="A35" s="56" t="s">
        <v>73</v>
      </c>
      <c r="B35" t="s">
        <v>184</v>
      </c>
      <c r="C35" s="4">
        <v>22</v>
      </c>
      <c r="D35" s="25">
        <f>C35/24</f>
        <v>0.9166666666666666</v>
      </c>
      <c r="E35" s="13">
        <v>30</v>
      </c>
      <c r="F35" s="21">
        <f>244.7529/E35</f>
        <v>8.158430000000001</v>
      </c>
      <c r="G35" s="21">
        <f>F35*D35</f>
        <v>7.478560833333334</v>
      </c>
      <c r="H35">
        <v>400</v>
      </c>
      <c r="I35">
        <v>0</v>
      </c>
      <c r="J35" s="2">
        <f>(H35+(I35/12))/20</f>
        <v>20</v>
      </c>
      <c r="K35" s="32">
        <f>(1/J35)*G35</f>
        <v>0.3739280416666667</v>
      </c>
      <c r="L35" s="21">
        <f>(J35*E35)/D35</f>
        <v>654.5454545454546</v>
      </c>
      <c r="M35" s="21">
        <f>1/0.2447529*L35</f>
        <v>2674.311334188296</v>
      </c>
      <c r="O35" s="10">
        <f>(G35-G34)/G34</f>
        <v>0.20833333333333348</v>
      </c>
      <c r="P35" s="35">
        <f>(K35-K34)/K34</f>
        <v>-0.0937499999999998</v>
      </c>
      <c r="Q35" s="10">
        <f>(M35-M34)/M34</f>
        <v>0.10344827586206894</v>
      </c>
    </row>
    <row r="36" spans="1:17" ht="12.75">
      <c r="A36" s="56" t="s">
        <v>74</v>
      </c>
      <c r="B36" t="s">
        <v>184</v>
      </c>
      <c r="C36" s="4">
        <v>22</v>
      </c>
      <c r="D36" s="25">
        <f>C36/24</f>
        <v>0.9166666666666666</v>
      </c>
      <c r="E36" s="13">
        <v>30</v>
      </c>
      <c r="F36" s="21">
        <f>244.7529/E36</f>
        <v>8.158430000000001</v>
      </c>
      <c r="G36" s="21">
        <f>F36*D36</f>
        <v>7.478560833333334</v>
      </c>
      <c r="H36">
        <v>400</v>
      </c>
      <c r="I36">
        <v>0</v>
      </c>
      <c r="J36" s="2">
        <f>(H36+(I36/12))/20</f>
        <v>20</v>
      </c>
      <c r="K36" s="32">
        <f>(1/J36)*G36</f>
        <v>0.3739280416666667</v>
      </c>
      <c r="L36" s="21">
        <f>(J36*E36)/D36</f>
        <v>654.5454545454546</v>
      </c>
      <c r="M36" s="21">
        <f>1/0.2447529*L36</f>
        <v>2674.311334188296</v>
      </c>
      <c r="O36" s="10">
        <f>(G36-G35)/G35</f>
        <v>0</v>
      </c>
      <c r="P36" s="35">
        <f>(K36-K35)/K35</f>
        <v>0</v>
      </c>
      <c r="Q36" s="10">
        <f>(M36-M35)/M35</f>
        <v>0</v>
      </c>
    </row>
    <row r="37" spans="1:17" ht="12.75">
      <c r="A37" s="56" t="s">
        <v>75</v>
      </c>
      <c r="B37" t="s">
        <v>192</v>
      </c>
      <c r="C37" s="4">
        <v>22</v>
      </c>
      <c r="D37" s="25">
        <f>C37/24</f>
        <v>0.9166666666666666</v>
      </c>
      <c r="E37" s="13">
        <v>20</v>
      </c>
      <c r="F37" s="21">
        <f>244.7529/E37</f>
        <v>12.237645</v>
      </c>
      <c r="G37" s="21">
        <f>F37*D37</f>
        <v>11.21784125</v>
      </c>
      <c r="H37">
        <v>600</v>
      </c>
      <c r="I37">
        <v>0</v>
      </c>
      <c r="J37" s="2">
        <f>(H37+(I37/12))/20</f>
        <v>30</v>
      </c>
      <c r="K37" s="32">
        <f>(1/J37)*G37</f>
        <v>0.37392804166666666</v>
      </c>
      <c r="L37" s="21">
        <f>(J37*E37)/D37</f>
        <v>654.5454545454546</v>
      </c>
      <c r="M37" s="21">
        <f>1/0.2447529*L37</f>
        <v>2674.311334188296</v>
      </c>
      <c r="O37" s="10">
        <f>(G37-G36)/G36</f>
        <v>0.49999999999999983</v>
      </c>
      <c r="P37" s="35">
        <f>(K37-K36)/K36</f>
        <v>0</v>
      </c>
      <c r="Q37" s="10">
        <f>(M37-M36)/M36</f>
        <v>0</v>
      </c>
    </row>
    <row r="38" spans="1:17" ht="12.75">
      <c r="A38" s="56" t="s">
        <v>76</v>
      </c>
      <c r="B38" t="s">
        <v>190</v>
      </c>
      <c r="C38" s="4">
        <v>22</v>
      </c>
      <c r="D38" s="25">
        <f>C38/24</f>
        <v>0.9166666666666666</v>
      </c>
      <c r="E38" s="13">
        <v>25</v>
      </c>
      <c r="F38" s="21">
        <f>244.7529/E38</f>
        <v>9.790116000000001</v>
      </c>
      <c r="G38" s="21">
        <f>F38*D38</f>
        <v>8.974273</v>
      </c>
      <c r="H38">
        <v>720</v>
      </c>
      <c r="I38">
        <v>0</v>
      </c>
      <c r="J38" s="2">
        <f>(H38+(I38/12))/20</f>
        <v>36</v>
      </c>
      <c r="K38" s="32">
        <f>(1/J38)*G38</f>
        <v>0.2492853611111111</v>
      </c>
      <c r="L38" s="21">
        <f>(J38*E38)/D38</f>
        <v>981.8181818181819</v>
      </c>
      <c r="M38" s="21">
        <f>1/0.2447529*L38</f>
        <v>4011.467001282444</v>
      </c>
      <c r="O38" s="10">
        <f>(G38-G37)/G37</f>
        <v>-0.19999999999999993</v>
      </c>
      <c r="P38" s="35">
        <f>(K38-K37)/K37</f>
        <v>-0.3333333333333333</v>
      </c>
      <c r="Q38" s="10">
        <f>(M38-M37)/M37</f>
        <v>0.5000000000000001</v>
      </c>
    </row>
    <row r="39" spans="1:17" ht="12.75">
      <c r="A39" s="56" t="s">
        <v>77</v>
      </c>
      <c r="B39" t="s">
        <v>221</v>
      </c>
      <c r="C39" s="4">
        <v>24</v>
      </c>
      <c r="D39" s="25">
        <f>C39/24</f>
        <v>1</v>
      </c>
      <c r="E39" s="13">
        <v>65.5</v>
      </c>
      <c r="F39" s="21">
        <f>244.7529/E39</f>
        <v>3.736685496183206</v>
      </c>
      <c r="G39" s="21">
        <f>F39*D39</f>
        <v>3.736685496183206</v>
      </c>
      <c r="H39">
        <v>300</v>
      </c>
      <c r="I39">
        <v>0</v>
      </c>
      <c r="J39" s="2">
        <f>(H39+(I39/12))/20</f>
        <v>15</v>
      </c>
      <c r="K39" s="32">
        <f>(1/J39)*G39</f>
        <v>0.24911236641221374</v>
      </c>
      <c r="L39" s="21">
        <f>(J39*E39)/D39</f>
        <v>982.5</v>
      </c>
      <c r="M39" s="21">
        <f>1/0.2447529*L39</f>
        <v>4014.2527422555563</v>
      </c>
      <c r="O39" s="10">
        <f>(G39-G38)/G38</f>
        <v>-0.5836224843858432</v>
      </c>
      <c r="P39" s="35">
        <f>(K39-K38)/K38</f>
        <v>-0.0006939625260235772</v>
      </c>
      <c r="Q39" s="10">
        <f>(M39-M38)/M38</f>
        <v>0.000694444444444317</v>
      </c>
    </row>
    <row r="40" spans="1:17" ht="12.75">
      <c r="A40" s="56" t="s">
        <v>78</v>
      </c>
      <c r="B40" t="s">
        <v>182</v>
      </c>
      <c r="C40" s="4">
        <v>22</v>
      </c>
      <c r="D40" s="25">
        <f>C40/24</f>
        <v>0.9166666666666666</v>
      </c>
      <c r="E40" s="13">
        <v>25</v>
      </c>
      <c r="F40" s="21">
        <f>244.7529/E40</f>
        <v>9.790116000000001</v>
      </c>
      <c r="G40" s="21">
        <f>F40*D40</f>
        <v>8.974273</v>
      </c>
      <c r="H40">
        <v>1080</v>
      </c>
      <c r="I40">
        <v>0</v>
      </c>
      <c r="J40" s="2">
        <f>(H40+(I40/12))/20</f>
        <v>54</v>
      </c>
      <c r="K40" s="32">
        <f>(1/J40)*G40</f>
        <v>0.16619024074074074</v>
      </c>
      <c r="L40" s="21">
        <f>(J40*E40)/D40</f>
        <v>1472.7272727272727</v>
      </c>
      <c r="M40" s="21">
        <f>1/0.2447529*L40</f>
        <v>6017.200501923666</v>
      </c>
      <c r="O40" s="10">
        <f>(G40-G39)/G39</f>
        <v>1.4016666666666666</v>
      </c>
      <c r="P40" s="35">
        <f>(K40-K39)/K39</f>
        <v>-0.33287037037037037</v>
      </c>
      <c r="Q40" s="10">
        <f>(M40-M39)/M39</f>
        <v>0.49895905621096476</v>
      </c>
    </row>
    <row r="41" spans="1:17" ht="12.75">
      <c r="A41" s="56" t="s">
        <v>79</v>
      </c>
      <c r="B41" t="s">
        <v>191</v>
      </c>
      <c r="C41" s="4">
        <v>22</v>
      </c>
      <c r="D41" s="25">
        <f>C41/24</f>
        <v>0.9166666666666666</v>
      </c>
      <c r="E41" s="13">
        <v>37.5</v>
      </c>
      <c r="F41" s="21">
        <f>244.7529/E41</f>
        <v>6.526744</v>
      </c>
      <c r="G41" s="21">
        <f>F41*D41</f>
        <v>5.9828486666666665</v>
      </c>
      <c r="H41">
        <v>540</v>
      </c>
      <c r="I41">
        <v>0</v>
      </c>
      <c r="J41" s="2">
        <f>(H41+(I41/12))/20</f>
        <v>27</v>
      </c>
      <c r="K41" s="32">
        <f>(1/J41)*G41</f>
        <v>0.22158698765432097</v>
      </c>
      <c r="L41" s="21">
        <f>(J41*E41)/D41</f>
        <v>1104.5454545454545</v>
      </c>
      <c r="M41" s="21">
        <f>1/0.2447529*L41</f>
        <v>4512.900376442749</v>
      </c>
      <c r="O41" s="10">
        <f>(G41-G40)/G40</f>
        <v>-0.33333333333333337</v>
      </c>
      <c r="P41" s="35">
        <f>(K41-K40)/K40</f>
        <v>0.33333333333333326</v>
      </c>
      <c r="Q41" s="10">
        <f>(M41-M40)/M40</f>
        <v>-0.25000000000000006</v>
      </c>
    </row>
    <row r="42" spans="1:17" ht="12.75">
      <c r="A42" s="56" t="s">
        <v>80</v>
      </c>
      <c r="B42" t="s">
        <v>189</v>
      </c>
      <c r="C42" s="4">
        <v>22</v>
      </c>
      <c r="D42" s="25">
        <f>C42/24</f>
        <v>0.9166666666666666</v>
      </c>
      <c r="E42" s="13">
        <v>30</v>
      </c>
      <c r="F42" s="21">
        <f>244.7529/E42</f>
        <v>8.158430000000001</v>
      </c>
      <c r="G42" s="21">
        <f>F42*D42</f>
        <v>7.478560833333334</v>
      </c>
      <c r="H42">
        <v>400</v>
      </c>
      <c r="I42">
        <v>0</v>
      </c>
      <c r="J42" s="2">
        <f>(H42+(I42/12))/20</f>
        <v>20</v>
      </c>
      <c r="K42" s="32">
        <f>(1/J42)*G42</f>
        <v>0.3739280416666667</v>
      </c>
      <c r="L42" s="21">
        <f>(J42*E42)/D42</f>
        <v>654.5454545454546</v>
      </c>
      <c r="M42" s="21">
        <f>1/0.2447529*L42</f>
        <v>2674.311334188296</v>
      </c>
      <c r="O42" s="10">
        <f>(G42-G41)/G41</f>
        <v>0.2500000000000001</v>
      </c>
      <c r="P42" s="35">
        <f>(K42-K41)/K41</f>
        <v>0.6875000000000003</v>
      </c>
      <c r="Q42" s="10">
        <f>(M42-M41)/M41</f>
        <v>-0.4074074074074074</v>
      </c>
    </row>
    <row r="43" spans="1:17" ht="12.75">
      <c r="A43" s="56" t="s">
        <v>81</v>
      </c>
      <c r="B43" t="s">
        <v>185</v>
      </c>
      <c r="C43" s="4">
        <v>22</v>
      </c>
      <c r="D43" s="25">
        <f>C43/24</f>
        <v>0.9166666666666666</v>
      </c>
      <c r="E43" s="13">
        <v>30</v>
      </c>
      <c r="F43" s="21">
        <f>244.7529/E43</f>
        <v>8.158430000000001</v>
      </c>
      <c r="G43" s="21">
        <f>F43*D43</f>
        <v>7.478560833333334</v>
      </c>
      <c r="H43">
        <v>480</v>
      </c>
      <c r="I43">
        <v>0</v>
      </c>
      <c r="J43" s="2">
        <f>(H43+(I43/12))/20</f>
        <v>24</v>
      </c>
      <c r="K43" s="32">
        <f>(1/J43)*G43</f>
        <v>0.3116067013888889</v>
      </c>
      <c r="L43" s="21">
        <f>(J43*E43)/D43</f>
        <v>785.4545454545455</v>
      </c>
      <c r="M43" s="21">
        <f>1/0.2447529*L43</f>
        <v>3209.173601025955</v>
      </c>
      <c r="O43" s="10">
        <f>(G43-G42)/G42</f>
        <v>0</v>
      </c>
      <c r="P43" s="35">
        <f>(K43-K42)/K42</f>
        <v>-0.1666666666666667</v>
      </c>
      <c r="Q43" s="10">
        <f>(M43-M42)/M42</f>
        <v>0.20000000000000004</v>
      </c>
    </row>
    <row r="44" spans="1:17" ht="12.75">
      <c r="A44" s="56" t="s">
        <v>82</v>
      </c>
      <c r="B44" t="s">
        <v>180</v>
      </c>
      <c r="C44" s="4">
        <v>22</v>
      </c>
      <c r="D44" s="25">
        <f>C44/24</f>
        <v>0.9166666666666666</v>
      </c>
      <c r="E44" s="13">
        <v>30</v>
      </c>
      <c r="F44" s="21">
        <f>244.7529/E44</f>
        <v>8.158430000000001</v>
      </c>
      <c r="G44" s="21">
        <f>F44*D44</f>
        <v>7.478560833333334</v>
      </c>
      <c r="H44">
        <v>480</v>
      </c>
      <c r="I44">
        <v>0</v>
      </c>
      <c r="J44" s="2">
        <f>(H44+(I44/12))/20</f>
        <v>24</v>
      </c>
      <c r="K44" s="32">
        <f>(1/J44)*G44</f>
        <v>0.3116067013888889</v>
      </c>
      <c r="L44" s="21">
        <f>(J44*E44)/D44</f>
        <v>785.4545454545455</v>
      </c>
      <c r="M44" s="21">
        <f>1/0.2447529*L44</f>
        <v>3209.173601025955</v>
      </c>
      <c r="O44" s="10">
        <f>(G44-G43)/G43</f>
        <v>0</v>
      </c>
      <c r="P44" s="35">
        <f>(K44-K43)/K43</f>
        <v>0</v>
      </c>
      <c r="Q44" s="10">
        <f>(M44-M43)/M43</f>
        <v>0</v>
      </c>
    </row>
    <row r="45" spans="1:17" ht="12.75">
      <c r="A45" s="56" t="s">
        <v>83</v>
      </c>
      <c r="B45" t="s">
        <v>193</v>
      </c>
      <c r="C45" s="4">
        <v>22</v>
      </c>
      <c r="D45" s="25">
        <f>C45/24</f>
        <v>0.9166666666666666</v>
      </c>
      <c r="E45" s="13">
        <v>30</v>
      </c>
      <c r="F45" s="21">
        <f>244.7529/E45</f>
        <v>8.158430000000001</v>
      </c>
      <c r="G45" s="21">
        <f>F45*D45</f>
        <v>7.478560833333334</v>
      </c>
      <c r="H45">
        <v>480</v>
      </c>
      <c r="I45">
        <v>0</v>
      </c>
      <c r="J45" s="2">
        <f>(H45+(I45/12))/20</f>
        <v>24</v>
      </c>
      <c r="K45" s="32">
        <f>(1/J45)*G45</f>
        <v>0.3116067013888889</v>
      </c>
      <c r="L45" s="21">
        <f>(J45*E45)/D45</f>
        <v>785.4545454545455</v>
      </c>
      <c r="M45" s="21">
        <f>1/0.2447529*L45</f>
        <v>3209.173601025955</v>
      </c>
      <c r="O45" s="10">
        <f>(G45-G44)/G44</f>
        <v>0</v>
      </c>
      <c r="P45" s="35">
        <f>(K45-K44)/K44</f>
        <v>0</v>
      </c>
      <c r="Q45" s="10">
        <f>(M45-M44)/M44</f>
        <v>0</v>
      </c>
    </row>
    <row r="46" spans="1:17" ht="12.75">
      <c r="A46" s="56" t="s">
        <v>84</v>
      </c>
      <c r="B46" t="s">
        <v>188</v>
      </c>
      <c r="C46" s="4">
        <v>22</v>
      </c>
      <c r="D46" s="25">
        <f>C46/24</f>
        <v>0.9166666666666666</v>
      </c>
      <c r="E46" s="13">
        <v>32</v>
      </c>
      <c r="F46" s="21">
        <f>244.7529/E46</f>
        <v>7.648528125</v>
      </c>
      <c r="G46" s="21">
        <f>F46*D46</f>
        <v>7.0111507812500005</v>
      </c>
      <c r="H46">
        <v>480</v>
      </c>
      <c r="I46">
        <v>0</v>
      </c>
      <c r="J46" s="2">
        <f>(H46+(I46/12))/20</f>
        <v>24</v>
      </c>
      <c r="K46" s="32">
        <f>(1/J46)*G46</f>
        <v>0.2921312825520833</v>
      </c>
      <c r="L46" s="21">
        <f>(J46*E46)/D46</f>
        <v>837.8181818181819</v>
      </c>
      <c r="M46" s="21">
        <f>1/0.2447529*L46</f>
        <v>3423.118507761019</v>
      </c>
      <c r="O46" s="10">
        <f>(G46-G45)/G45</f>
        <v>-0.06249999999999999</v>
      </c>
      <c r="P46" s="35">
        <f>(K46-K45)/K45</f>
        <v>-0.06250000000000011</v>
      </c>
      <c r="Q46" s="10">
        <f>(M46-M45)/M45</f>
        <v>0.06666666666666671</v>
      </c>
    </row>
    <row r="47" spans="1:17" ht="12.75">
      <c r="A47" s="56" t="s">
        <v>85</v>
      </c>
      <c r="B47" t="s">
        <v>186</v>
      </c>
      <c r="C47" s="4">
        <v>22</v>
      </c>
      <c r="D47" s="25">
        <f>C47/24</f>
        <v>0.9166666666666666</v>
      </c>
      <c r="E47" s="13">
        <v>32</v>
      </c>
      <c r="F47" s="21">
        <f>244.7529/E47</f>
        <v>7.648528125</v>
      </c>
      <c r="G47" s="21">
        <f>F47*D47</f>
        <v>7.0111507812500005</v>
      </c>
      <c r="H47">
        <v>480</v>
      </c>
      <c r="I47">
        <v>0</v>
      </c>
      <c r="J47" s="2">
        <f>(H47+(I47/12))/20</f>
        <v>24</v>
      </c>
      <c r="K47" s="32">
        <f>(1/J47)*G47</f>
        <v>0.2921312825520833</v>
      </c>
      <c r="L47" s="21">
        <f>(J47*E47)/D47</f>
        <v>837.8181818181819</v>
      </c>
      <c r="M47" s="21">
        <f>1/0.2447529*L47</f>
        <v>3423.118507761019</v>
      </c>
      <c r="O47" s="10">
        <f>(G47-G46)/G46</f>
        <v>0</v>
      </c>
      <c r="P47" s="35">
        <f>(K47-K46)/K46</f>
        <v>0</v>
      </c>
      <c r="Q47" s="10">
        <f>(M47-M46)/M46</f>
        <v>0</v>
      </c>
    </row>
    <row r="48" spans="1:17" ht="12.75">
      <c r="A48" s="56"/>
      <c r="C48" s="4"/>
      <c r="D48" s="25"/>
      <c r="E48" s="13"/>
      <c r="F48" s="21"/>
      <c r="G48" s="21"/>
      <c r="J48" s="2"/>
      <c r="K48" s="32"/>
      <c r="L48" s="21"/>
      <c r="M48" s="21"/>
      <c r="O48" s="10"/>
      <c r="P48" s="35"/>
      <c r="Q48" s="10"/>
    </row>
    <row r="49" spans="1:17" ht="12.75">
      <c r="A49" s="56"/>
      <c r="C49" s="4"/>
      <c r="D49" s="25"/>
      <c r="E49" s="13"/>
      <c r="F49" s="21"/>
      <c r="G49" s="21"/>
      <c r="J49" s="2"/>
      <c r="K49" s="32"/>
      <c r="L49" s="21"/>
      <c r="M49" s="21"/>
      <c r="O49" s="10"/>
      <c r="P49" s="35"/>
      <c r="Q49" s="10"/>
    </row>
    <row r="50" spans="1:17" ht="12.75">
      <c r="A50" s="56"/>
      <c r="C50" s="4"/>
      <c r="D50" s="25"/>
      <c r="E50" s="13"/>
      <c r="F50" s="21"/>
      <c r="G50" s="21"/>
      <c r="J50" s="2"/>
      <c r="K50" s="32"/>
      <c r="L50" s="21"/>
      <c r="M50" s="21"/>
      <c r="O50" s="10"/>
      <c r="P50" s="35"/>
      <c r="Q50" s="10"/>
    </row>
    <row r="51" spans="1:17" ht="12.75">
      <c r="A51" s="56"/>
      <c r="C51" s="4"/>
      <c r="D51" s="25"/>
      <c r="E51" s="13"/>
      <c r="F51" s="21"/>
      <c r="G51" s="21"/>
      <c r="J51" s="2"/>
      <c r="K51" s="32"/>
      <c r="L51" s="21"/>
      <c r="M51" s="21"/>
      <c r="O51" s="10"/>
      <c r="P51" s="35"/>
      <c r="Q51" s="10"/>
    </row>
    <row r="52" spans="1:17" ht="12.75">
      <c r="A52" s="56"/>
      <c r="C52" s="4"/>
      <c r="D52" s="25"/>
      <c r="E52" s="13"/>
      <c r="F52" s="21"/>
      <c r="G52" s="21"/>
      <c r="J52" s="2"/>
      <c r="K52" s="32"/>
      <c r="L52" s="21"/>
      <c r="M52" s="21"/>
      <c r="O52" s="10"/>
      <c r="P52" s="35"/>
      <c r="Q52" s="10"/>
    </row>
    <row r="53" spans="1:17" ht="12.75">
      <c r="A53" s="56"/>
      <c r="C53" s="4"/>
      <c r="D53" s="25"/>
      <c r="E53" s="13"/>
      <c r="F53" s="21"/>
      <c r="G53" s="21"/>
      <c r="J53" s="2"/>
      <c r="K53" s="32"/>
      <c r="L53" s="21"/>
      <c r="M53" s="21"/>
      <c r="O53" s="10"/>
      <c r="P53" s="35"/>
      <c r="Q53" s="10"/>
    </row>
    <row r="54" spans="1:17" ht="12.75">
      <c r="A54" s="56"/>
      <c r="C54" s="4"/>
      <c r="D54" s="25"/>
      <c r="E54" s="13"/>
      <c r="F54" s="21"/>
      <c r="G54" s="21"/>
      <c r="J54" s="2"/>
      <c r="K54" s="32"/>
      <c r="L54" s="21"/>
      <c r="M54" s="21"/>
      <c r="O54" s="10"/>
      <c r="P54" s="35"/>
      <c r="Q54" s="10"/>
    </row>
    <row r="55" spans="1:17" ht="12.75">
      <c r="A55" s="56"/>
      <c r="C55" s="4"/>
      <c r="E55" s="13"/>
      <c r="O55" s="10"/>
      <c r="P55" s="35"/>
      <c r="Q55" s="10"/>
    </row>
    <row r="56" spans="1:17" ht="12.75">
      <c r="A56" s="56"/>
      <c r="C56" s="4"/>
      <c r="E56" s="13"/>
      <c r="O56" s="10"/>
      <c r="P56" s="35"/>
      <c r="Q56" s="10"/>
    </row>
    <row r="57" spans="1:17" ht="12.75">
      <c r="A57" s="56"/>
      <c r="C57" s="4"/>
      <c r="E57" s="13"/>
      <c r="O57" s="10"/>
      <c r="P57" s="35"/>
      <c r="Q57" s="10"/>
    </row>
    <row r="58" spans="1:17" ht="12.75">
      <c r="A58" s="56"/>
      <c r="C58" s="4"/>
      <c r="E58" s="13"/>
      <c r="O58" s="10"/>
      <c r="P58" s="35"/>
      <c r="Q58" s="10"/>
    </row>
    <row r="59" spans="1:17" ht="12.75">
      <c r="A59" s="56"/>
      <c r="C59" s="4"/>
      <c r="E59" s="13"/>
      <c r="O59" s="10"/>
      <c r="P59" s="35"/>
      <c r="Q59" s="10"/>
    </row>
    <row r="60" spans="1:17" ht="12.75">
      <c r="A60" s="56"/>
      <c r="C60" s="4"/>
      <c r="E60" s="13"/>
      <c r="O60" s="10"/>
      <c r="P60" s="35"/>
      <c r="Q60" s="10"/>
    </row>
    <row r="61" spans="1:17" ht="12.75">
      <c r="A61" s="56"/>
      <c r="C61" s="4"/>
      <c r="E61" s="13"/>
      <c r="O61" s="10"/>
      <c r="P61" s="35"/>
      <c r="Q61" s="10"/>
    </row>
    <row r="62" spans="1:17" ht="12.75">
      <c r="A62" s="56"/>
      <c r="C62" s="4"/>
      <c r="E62" s="13"/>
      <c r="O62" s="10"/>
      <c r="P62" s="35"/>
      <c r="Q62" s="10"/>
    </row>
    <row r="63" spans="1:17" ht="12.75">
      <c r="A63" s="56"/>
      <c r="C63" s="4"/>
      <c r="E63" s="13"/>
      <c r="O63" s="10"/>
      <c r="P63" s="35"/>
      <c r="Q63" s="10"/>
    </row>
    <row r="64" spans="1:17" ht="12.75">
      <c r="A64" s="56"/>
      <c r="C64" s="4"/>
      <c r="E64" s="13"/>
      <c r="O64" s="10"/>
      <c r="P64" s="35"/>
      <c r="Q64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O65"/>
  <sheetViews>
    <sheetView defaultGridColor="0" zoomScale="90" zoomScaleNormal="90" colorId="0" workbookViewId="0" topLeftCell="A1">
      <pane xSplit="1" ySplit="7" topLeftCell="B8" activePane="bottomRight" state="frozen"/>
      <selection pane="bottomRight" activeCell="A8" sqref="A8"/>
    </sheetView>
  </sheetViews>
  <sheetFormatPr defaultColWidth="9.140625" defaultRowHeight="12.75"/>
  <cols>
    <col min="1" max="1" width="10.7109375" style="23" customWidth="1"/>
    <col min="2" max="2" width="10.8515625" style="0" customWidth="1"/>
    <col min="3" max="3" width="8.28125" style="13" customWidth="1"/>
    <col min="4" max="4" width="8.421875" style="0" customWidth="1"/>
    <col min="5" max="5" width="7.421875" style="1" customWidth="1"/>
    <col min="6" max="6" width="9.421875" style="21" customWidth="1"/>
    <col min="7" max="7" width="8.140625" style="21" customWidth="1"/>
    <col min="8" max="8" width="10.421875" style="0" customWidth="1"/>
    <col min="9" max="9" width="13.140625" style="4" customWidth="1"/>
    <col min="10" max="10" width="11.140625" style="4" customWidth="1"/>
    <col min="11" max="11" width="10.8515625" style="4" customWidth="1"/>
    <col min="12" max="12" width="8.28125" style="0" customWidth="1"/>
    <col min="13" max="13" width="8.421875" style="0" customWidth="1"/>
    <col min="14" max="14" width="7.421875" style="0" customWidth="1"/>
    <col min="15" max="15" width="9.421875" style="0" customWidth="1"/>
    <col min="16" max="16" width="8.140625" style="0" customWidth="1"/>
    <col min="17" max="17" width="10.421875" style="0" customWidth="1"/>
    <col min="18" max="18" width="10.28125" style="4" customWidth="1"/>
    <col min="19" max="19" width="11.140625" style="4" customWidth="1"/>
    <col min="20" max="20" width="10.8515625" style="17" customWidth="1"/>
    <col min="21" max="21" width="8.28125" style="13" customWidth="1"/>
    <col min="22" max="22" width="8.421875" style="0" customWidth="1"/>
    <col min="23" max="23" width="7.421875" style="0" customWidth="1"/>
    <col min="24" max="24" width="9.421875" style="0" customWidth="1"/>
    <col min="25" max="25" width="8.140625" style="21" customWidth="1"/>
    <col min="26" max="26" width="10.421875" style="32" customWidth="1"/>
    <col min="27" max="27" width="10.28125" style="4" customWidth="1"/>
    <col min="28" max="28" width="11.140625" style="4" customWidth="1"/>
    <col min="29" max="29" width="10.8515625" style="21" customWidth="1"/>
    <col min="30" max="30" width="8.28125" style="13" customWidth="1"/>
    <col min="31" max="31" width="8.421875" style="0" customWidth="1"/>
    <col min="32" max="32" width="7.421875" style="1" customWidth="1"/>
    <col min="33" max="33" width="9.421875" style="0" customWidth="1"/>
    <col min="34" max="34" width="8.140625" style="4" customWidth="1"/>
    <col min="35" max="35" width="10.421875" style="0" customWidth="1"/>
    <col min="36" max="36" width="10.28125" style="4" customWidth="1"/>
    <col min="37" max="37" width="11.140625" style="4" customWidth="1"/>
    <col min="38" max="38" width="10.8515625" style="17" customWidth="1"/>
    <col min="39" max="39" width="8.28125" style="13" customWidth="1"/>
    <col min="40" max="40" width="8.421875" style="0" customWidth="1"/>
    <col min="41" max="41" width="7.421875" style="0" customWidth="1"/>
    <col min="42" max="42" width="9.421875" style="21" customWidth="1"/>
    <col min="43" max="43" width="8.140625" style="21" customWidth="1"/>
    <col min="44" max="44" width="10.421875" style="17" customWidth="1"/>
    <col min="45" max="45" width="10.28125" style="4" customWidth="1"/>
    <col min="46" max="46" width="11.140625" style="4" customWidth="1"/>
    <col min="47" max="47" width="10.8515625" style="4" customWidth="1"/>
    <col min="48" max="48" width="8.28125" style="13" customWidth="1"/>
    <col min="49" max="49" width="8.421875" style="0" customWidth="1"/>
    <col min="50" max="50" width="7.421875" style="0" customWidth="1"/>
    <col min="51" max="51" width="9.421875" style="0" customWidth="1"/>
    <col min="52" max="52" width="8.140625" style="4" customWidth="1"/>
    <col min="53" max="53" width="10.421875" style="4" customWidth="1"/>
    <col min="54" max="54" width="10.28125" style="4" customWidth="1"/>
    <col min="55" max="55" width="11.140625" style="4" customWidth="1"/>
    <col min="56" max="56" width="10.8515625" style="4" customWidth="1"/>
    <col min="57" max="57" width="8.28125" style="4" customWidth="1"/>
    <col min="58" max="58" width="8.421875" style="0" customWidth="1"/>
    <col min="59" max="59" width="7.421875" style="0" customWidth="1"/>
    <col min="60" max="60" width="9.421875" style="0" customWidth="1"/>
    <col min="61" max="61" width="8.140625" style="21" customWidth="1"/>
    <col min="62" max="62" width="10.421875" style="21" customWidth="1"/>
    <col min="63" max="63" width="10.28125" style="4" customWidth="1"/>
    <col min="64" max="64" width="11.140625" style="4" customWidth="1"/>
  </cols>
  <sheetData>
    <row r="1" spans="2:11" ht="12.75">
      <c r="B1" s="5" t="s">
        <v>142</v>
      </c>
      <c r="H1" s="5">
        <v>1494</v>
      </c>
      <c r="I1" s="8" t="s">
        <v>146</v>
      </c>
      <c r="J1" s="4">
        <v>3.36899453125</v>
      </c>
      <c r="K1" s="4">
        <v>36.25</v>
      </c>
    </row>
    <row r="2" spans="8:11" ht="12.75">
      <c r="H2" s="5">
        <v>1519</v>
      </c>
      <c r="I2" s="8" t="s">
        <v>146</v>
      </c>
      <c r="J2" s="4">
        <v>3.2958528688524593</v>
      </c>
      <c r="K2" s="4">
        <v>40</v>
      </c>
    </row>
    <row r="3" spans="2:11" ht="12.75">
      <c r="B3" s="1"/>
      <c r="H3" s="9"/>
      <c r="I3" s="17"/>
      <c r="J3" s="17"/>
      <c r="K3" s="4"/>
    </row>
    <row r="4" spans="1:64" ht="12.75">
      <c r="A4" s="23" t="s">
        <v>109</v>
      </c>
      <c r="B4" s="23" t="s">
        <v>140</v>
      </c>
      <c r="H4" s="5"/>
      <c r="I4" s="4"/>
      <c r="J4" s="4"/>
      <c r="K4" s="30" t="s">
        <v>138</v>
      </c>
      <c r="L4" s="13"/>
      <c r="N4" s="1"/>
      <c r="O4" s="21"/>
      <c r="P4" s="21"/>
      <c r="Q4" s="5"/>
      <c r="R4" s="4"/>
      <c r="S4" s="17"/>
      <c r="T4" s="30" t="s">
        <v>139</v>
      </c>
      <c r="U4" s="13"/>
      <c r="W4" s="1"/>
      <c r="Y4" s="21"/>
      <c r="Z4" s="22"/>
      <c r="AA4" s="4"/>
      <c r="AC4" s="24" t="s">
        <v>202</v>
      </c>
      <c r="AD4" s="13"/>
      <c r="AF4" s="1"/>
      <c r="AH4" s="4"/>
      <c r="AI4" s="5"/>
      <c r="AJ4" s="4"/>
      <c r="AK4" s="4"/>
      <c r="AL4" s="30" t="s">
        <v>201</v>
      </c>
      <c r="AM4" s="13"/>
      <c r="AO4" s="1"/>
      <c r="AP4" s="21"/>
      <c r="AQ4" s="21"/>
      <c r="AR4" s="8"/>
      <c r="AS4" s="4"/>
      <c r="AU4" s="30" t="s">
        <v>172</v>
      </c>
      <c r="AV4" s="13"/>
      <c r="AX4" s="1"/>
      <c r="AZ4" s="4"/>
      <c r="BA4" s="8"/>
      <c r="BB4" s="4"/>
      <c r="BD4" s="30" t="s">
        <v>148</v>
      </c>
      <c r="BE4" s="4"/>
      <c r="BG4" s="1"/>
      <c r="BI4" s="21"/>
      <c r="BJ4" s="22"/>
      <c r="BK4" s="4"/>
      <c r="BL4" s="4"/>
    </row>
    <row r="5" spans="1:64" ht="12.75">
      <c r="A5" s="5"/>
      <c r="B5" s="5" t="s">
        <v>145</v>
      </c>
      <c r="C5" s="14" t="s">
        <v>229</v>
      </c>
      <c r="D5" s="5" t="s">
        <v>116</v>
      </c>
      <c r="E5" s="9" t="s">
        <v>153</v>
      </c>
      <c r="F5" s="22" t="s">
        <v>243</v>
      </c>
      <c r="G5" s="22" t="s">
        <v>151</v>
      </c>
      <c r="H5" s="5" t="s">
        <v>207</v>
      </c>
      <c r="I5" s="8" t="s">
        <v>222</v>
      </c>
      <c r="J5" s="8" t="s">
        <v>141</v>
      </c>
      <c r="K5" s="8" t="s">
        <v>145</v>
      </c>
      <c r="L5" s="14" t="s">
        <v>229</v>
      </c>
      <c r="M5" s="5" t="s">
        <v>116</v>
      </c>
      <c r="N5" s="9" t="s">
        <v>153</v>
      </c>
      <c r="O5" s="22" t="s">
        <v>243</v>
      </c>
      <c r="P5" s="22" t="s">
        <v>151</v>
      </c>
      <c r="Q5" s="5" t="s">
        <v>207</v>
      </c>
      <c r="R5" s="8" t="s">
        <v>222</v>
      </c>
      <c r="S5" s="8" t="s">
        <v>141</v>
      </c>
      <c r="T5" s="8" t="s">
        <v>145</v>
      </c>
      <c r="U5" s="14" t="s">
        <v>229</v>
      </c>
      <c r="V5" s="5" t="s">
        <v>116</v>
      </c>
      <c r="W5" s="9" t="s">
        <v>153</v>
      </c>
      <c r="X5" s="5" t="s">
        <v>243</v>
      </c>
      <c r="Y5" s="22" t="s">
        <v>151</v>
      </c>
      <c r="Z5" s="22" t="s">
        <v>207</v>
      </c>
      <c r="AA5" s="8" t="s">
        <v>222</v>
      </c>
      <c r="AB5" s="8" t="s">
        <v>141</v>
      </c>
      <c r="AC5" s="22" t="s">
        <v>145</v>
      </c>
      <c r="AD5" s="14" t="s">
        <v>229</v>
      </c>
      <c r="AE5" s="5" t="s">
        <v>116</v>
      </c>
      <c r="AF5" s="9" t="s">
        <v>153</v>
      </c>
      <c r="AG5" s="5" t="s">
        <v>243</v>
      </c>
      <c r="AH5" s="8" t="s">
        <v>151</v>
      </c>
      <c r="AI5" s="5" t="s">
        <v>207</v>
      </c>
      <c r="AJ5" s="8" t="s">
        <v>222</v>
      </c>
      <c r="AK5" s="8" t="s">
        <v>141</v>
      </c>
      <c r="AL5" s="8" t="s">
        <v>145</v>
      </c>
      <c r="AM5" s="14" t="s">
        <v>229</v>
      </c>
      <c r="AN5" s="5" t="s">
        <v>116</v>
      </c>
      <c r="AO5" s="9" t="s">
        <v>153</v>
      </c>
      <c r="AP5" s="22" t="s">
        <v>243</v>
      </c>
      <c r="AQ5" s="22" t="s">
        <v>151</v>
      </c>
      <c r="AR5" s="8" t="s">
        <v>207</v>
      </c>
      <c r="AS5" s="8" t="s">
        <v>222</v>
      </c>
      <c r="AT5" s="8" t="s">
        <v>141</v>
      </c>
      <c r="AU5" s="8" t="s">
        <v>145</v>
      </c>
      <c r="AV5" s="14" t="s">
        <v>229</v>
      </c>
      <c r="AW5" s="5" t="s">
        <v>116</v>
      </c>
      <c r="AX5" s="9" t="s">
        <v>153</v>
      </c>
      <c r="AY5" s="5" t="s">
        <v>243</v>
      </c>
      <c r="AZ5" s="8" t="s">
        <v>151</v>
      </c>
      <c r="BA5" s="8" t="s">
        <v>207</v>
      </c>
      <c r="BB5" s="8" t="s">
        <v>222</v>
      </c>
      <c r="BC5" s="8" t="s">
        <v>141</v>
      </c>
      <c r="BD5" s="8" t="s">
        <v>145</v>
      </c>
      <c r="BE5" s="8" t="s">
        <v>229</v>
      </c>
      <c r="BF5" s="5" t="s">
        <v>116</v>
      </c>
      <c r="BG5" s="9" t="s">
        <v>153</v>
      </c>
      <c r="BH5" s="5" t="s">
        <v>243</v>
      </c>
      <c r="BI5" s="22" t="s">
        <v>151</v>
      </c>
      <c r="BJ5" s="22" t="s">
        <v>207</v>
      </c>
      <c r="BK5" s="8" t="s">
        <v>222</v>
      </c>
      <c r="BL5" s="8" t="s">
        <v>141</v>
      </c>
    </row>
    <row r="6" spans="1:64" ht="12.75">
      <c r="A6" s="23"/>
      <c r="B6" s="5" t="s">
        <v>208</v>
      </c>
      <c r="C6" s="14" t="s">
        <v>235</v>
      </c>
      <c r="D6" s="5"/>
      <c r="E6" s="9"/>
      <c r="F6" s="22" t="s">
        <v>168</v>
      </c>
      <c r="G6" s="22" t="s">
        <v>154</v>
      </c>
      <c r="H6" s="5" t="s">
        <v>144</v>
      </c>
      <c r="I6" s="8" t="s">
        <v>225</v>
      </c>
      <c r="J6" s="8" t="s">
        <v>223</v>
      </c>
      <c r="K6" s="8" t="s">
        <v>208</v>
      </c>
      <c r="L6" s="14" t="s">
        <v>235</v>
      </c>
      <c r="M6" s="5"/>
      <c r="N6" s="9"/>
      <c r="O6" s="22" t="s">
        <v>168</v>
      </c>
      <c r="P6" s="22" t="s">
        <v>154</v>
      </c>
      <c r="Q6" s="5" t="s">
        <v>144</v>
      </c>
      <c r="R6" s="8" t="s">
        <v>225</v>
      </c>
      <c r="S6" s="8" t="s">
        <v>223</v>
      </c>
      <c r="T6" s="8" t="s">
        <v>208</v>
      </c>
      <c r="U6" s="14" t="s">
        <v>235</v>
      </c>
      <c r="V6" s="5"/>
      <c r="W6" s="9"/>
      <c r="X6" s="5" t="s">
        <v>168</v>
      </c>
      <c r="Y6" s="22" t="s">
        <v>154</v>
      </c>
      <c r="Z6" s="22" t="s">
        <v>144</v>
      </c>
      <c r="AA6" s="8" t="s">
        <v>225</v>
      </c>
      <c r="AB6" s="8" t="s">
        <v>223</v>
      </c>
      <c r="AC6" s="22" t="s">
        <v>208</v>
      </c>
      <c r="AD6" s="14" t="s">
        <v>235</v>
      </c>
      <c r="AE6" s="5"/>
      <c r="AF6" s="9"/>
      <c r="AG6" s="5" t="s">
        <v>168</v>
      </c>
      <c r="AH6" s="8" t="s">
        <v>154</v>
      </c>
      <c r="AI6" s="5" t="s">
        <v>144</v>
      </c>
      <c r="AJ6" s="8" t="s">
        <v>225</v>
      </c>
      <c r="AK6" s="8" t="s">
        <v>223</v>
      </c>
      <c r="AL6" s="8" t="s">
        <v>208</v>
      </c>
      <c r="AM6" s="14" t="s">
        <v>235</v>
      </c>
      <c r="AN6" s="5"/>
      <c r="AO6" s="9"/>
      <c r="AP6" s="22" t="s">
        <v>168</v>
      </c>
      <c r="AQ6" s="22" t="s">
        <v>154</v>
      </c>
      <c r="AR6" s="8" t="s">
        <v>144</v>
      </c>
      <c r="AS6" s="8" t="s">
        <v>225</v>
      </c>
      <c r="AT6" s="8" t="s">
        <v>223</v>
      </c>
      <c r="AU6" s="8" t="s">
        <v>208</v>
      </c>
      <c r="AV6" s="14" t="s">
        <v>235</v>
      </c>
      <c r="AW6" s="5"/>
      <c r="AX6" s="9"/>
      <c r="AY6" s="5" t="s">
        <v>168</v>
      </c>
      <c r="AZ6" s="8" t="s">
        <v>154</v>
      </c>
      <c r="BA6" s="8" t="s">
        <v>144</v>
      </c>
      <c r="BB6" s="8" t="s">
        <v>225</v>
      </c>
      <c r="BC6" s="8" t="s">
        <v>223</v>
      </c>
      <c r="BD6" s="8" t="s">
        <v>208</v>
      </c>
      <c r="BE6" s="8" t="s">
        <v>235</v>
      </c>
      <c r="BF6" s="5"/>
      <c r="BG6" s="9"/>
      <c r="BH6" s="5" t="s">
        <v>168</v>
      </c>
      <c r="BI6" s="22" t="s">
        <v>154</v>
      </c>
      <c r="BJ6" s="22" t="s">
        <v>144</v>
      </c>
      <c r="BK6" s="8" t="s">
        <v>225</v>
      </c>
      <c r="BL6" s="8" t="s">
        <v>223</v>
      </c>
    </row>
    <row r="7" spans="1:64" ht="12.75">
      <c r="A7" s="23"/>
      <c r="C7" s="13"/>
      <c r="E7" s="1"/>
      <c r="F7" s="21"/>
      <c r="G7" s="21"/>
      <c r="I7" s="4"/>
      <c r="J7" s="4"/>
      <c r="K7" s="4"/>
      <c r="L7" s="13"/>
      <c r="N7" s="1"/>
      <c r="O7" s="21"/>
      <c r="P7" s="21"/>
      <c r="R7" s="4"/>
      <c r="S7" s="4"/>
      <c r="T7" s="17"/>
      <c r="U7" s="13"/>
      <c r="Y7" s="21"/>
      <c r="Z7" s="32"/>
      <c r="AA7" s="4"/>
      <c r="AB7" s="4"/>
      <c r="AC7" s="21"/>
      <c r="AD7" s="13"/>
      <c r="AF7" s="1"/>
      <c r="AH7" s="4"/>
      <c r="AJ7" s="4"/>
      <c r="AK7" s="4"/>
      <c r="AL7" s="17"/>
      <c r="AM7" s="13"/>
      <c r="AP7" s="21"/>
      <c r="AQ7" s="21"/>
      <c r="AR7" s="17"/>
      <c r="AS7" s="4"/>
      <c r="AT7" s="4"/>
      <c r="AU7" s="4"/>
      <c r="AV7" s="13"/>
      <c r="AZ7" s="4"/>
      <c r="BA7" s="4"/>
      <c r="BB7" s="4"/>
      <c r="BC7" s="4"/>
      <c r="BD7" s="4"/>
      <c r="BE7" s="4"/>
      <c r="BI7" s="21"/>
      <c r="BJ7" s="21"/>
      <c r="BK7" s="4"/>
      <c r="BL7" s="4"/>
    </row>
    <row r="8" spans="1:67" ht="12.75">
      <c r="A8" s="23" t="s">
        <v>45</v>
      </c>
      <c r="B8">
        <v>23.875</v>
      </c>
      <c r="C8" s="13">
        <f>244.753/F8</f>
        <v>32.000013074410965</v>
      </c>
      <c r="D8">
        <v>6</v>
      </c>
      <c r="E8" s="1">
        <v>0</v>
      </c>
      <c r="F8" s="21">
        <f>((D8/24)+(E8/24/24))/8*244.7529</f>
        <v>7.648528125</v>
      </c>
      <c r="G8" s="21">
        <f>(B8/24)*F8</f>
        <v>7.608692041015625</v>
      </c>
      <c r="H8" s="4">
        <v>7.735376203703703</v>
      </c>
      <c r="I8" s="4">
        <v>80</v>
      </c>
      <c r="J8" s="4">
        <f>H8/J1*K1</f>
        <v>83.23177279846149</v>
      </c>
      <c r="K8" s="4">
        <v>23.875</v>
      </c>
      <c r="L8" s="13">
        <f>244.753/O8</f>
        <v>48.00001961161645</v>
      </c>
      <c r="M8">
        <v>4</v>
      </c>
      <c r="N8" s="1">
        <v>0</v>
      </c>
      <c r="O8" s="21">
        <f>((M8/24)+(N8/24/24))/8*244.7529</f>
        <v>5.09901875</v>
      </c>
      <c r="P8" s="21">
        <f>(K8/24)*O8</f>
        <v>5.072461360677083</v>
      </c>
      <c r="Q8" s="4">
        <v>5.156917469135802</v>
      </c>
      <c r="R8" s="4">
        <v>53.333</v>
      </c>
      <c r="S8" s="4">
        <f>Q8/J1*K1</f>
        <v>55.48784853230766</v>
      </c>
      <c r="T8" s="17"/>
      <c r="U8" s="13"/>
      <c r="Y8" s="21"/>
      <c r="Z8" s="32"/>
      <c r="AA8" s="4"/>
      <c r="AB8" s="4"/>
      <c r="AC8" s="21"/>
      <c r="AD8" s="13"/>
      <c r="AF8" s="1"/>
      <c r="AH8" s="4"/>
      <c r="AJ8" s="4"/>
      <c r="AK8" s="4"/>
      <c r="AL8" s="17"/>
      <c r="AM8" s="13"/>
      <c r="AP8" s="21"/>
      <c r="AQ8" s="21"/>
      <c r="AR8" s="17"/>
      <c r="AS8" s="4"/>
      <c r="AT8" s="4"/>
      <c r="AU8" s="4">
        <v>24</v>
      </c>
      <c r="AV8" s="13">
        <f>244.7529/BA8</f>
        <v>68.77013205956729</v>
      </c>
      <c r="AW8">
        <v>2</v>
      </c>
      <c r="AX8">
        <v>18</v>
      </c>
      <c r="AY8" s="21">
        <f>((AW8/24)+(AX8/24/24))/8*244.7529</f>
        <v>3.5055753906250002</v>
      </c>
      <c r="AZ8" s="4">
        <f>AY8*(AU8/24)</f>
        <v>3.5055753906250002</v>
      </c>
      <c r="BA8" s="4">
        <v>3.559</v>
      </c>
      <c r="BB8" s="4">
        <v>37.5</v>
      </c>
      <c r="BC8" s="4">
        <f>BA8/J1*K1</f>
        <v>38.29443734719628</v>
      </c>
      <c r="BD8" s="4">
        <v>23.125</v>
      </c>
      <c r="BE8" s="4">
        <v>70</v>
      </c>
      <c r="BF8">
        <v>2</v>
      </c>
      <c r="BG8">
        <f>((244.7529/70)/(244.7259/24/8)-2)*(24)</f>
        <v>17.835834131164706</v>
      </c>
      <c r="BH8" s="21">
        <f>((BF8/24)+(BG8/24/24))/8*244.7529</f>
        <v>3.4968557568406125</v>
      </c>
      <c r="BI8" s="21">
        <f>BH8*(BD8/24)</f>
        <v>3.3693662240391316</v>
      </c>
      <c r="BJ8" s="21">
        <f>BD8/24*244.7529/BE8</f>
        <v>3.36899453125</v>
      </c>
      <c r="BK8" s="4">
        <v>32.5</v>
      </c>
      <c r="BL8" s="4">
        <v>3.25</v>
      </c>
      <c r="BO8">
        <f>((244.7529/70)/(244.7259/24/8)-2)*(24)</f>
        <v>17.835834131164706</v>
      </c>
    </row>
    <row r="9" spans="1:64" ht="12.75">
      <c r="A9" s="23"/>
      <c r="C9" s="13"/>
      <c r="E9" s="1"/>
      <c r="F9" s="21"/>
      <c r="G9" s="21"/>
      <c r="H9" s="4"/>
      <c r="I9" s="4"/>
      <c r="J9" s="4"/>
      <c r="K9" s="4"/>
      <c r="R9" s="4"/>
      <c r="S9" s="4"/>
      <c r="T9" s="17"/>
      <c r="U9" s="13"/>
      <c r="Y9" s="21"/>
      <c r="Z9" s="32"/>
      <c r="AA9" s="4"/>
      <c r="AB9" s="4"/>
      <c r="AC9" s="21"/>
      <c r="AD9" s="13"/>
      <c r="AF9" s="1"/>
      <c r="AH9" s="4"/>
      <c r="AJ9" s="4"/>
      <c r="AK9" s="4"/>
      <c r="AL9" s="17"/>
      <c r="AM9" s="13"/>
      <c r="AP9" s="21"/>
      <c r="AQ9" s="21"/>
      <c r="AR9" s="17"/>
      <c r="AS9" s="4"/>
      <c r="AT9" s="4"/>
      <c r="AU9" s="4"/>
      <c r="AV9" s="13"/>
      <c r="AZ9" s="4"/>
      <c r="BA9" s="4"/>
      <c r="BB9" s="4"/>
      <c r="BC9" s="4"/>
      <c r="BD9" s="4"/>
      <c r="BE9" s="4"/>
      <c r="BI9" s="21"/>
      <c r="BJ9" s="21"/>
      <c r="BK9" s="4"/>
      <c r="BL9" s="4"/>
    </row>
    <row r="10" spans="1:64" ht="12.75">
      <c r="A10" s="23" t="s">
        <v>47</v>
      </c>
      <c r="B10">
        <v>23.875</v>
      </c>
      <c r="C10" s="13">
        <f>244.753/F10</f>
        <v>32.000013074410965</v>
      </c>
      <c r="D10">
        <v>6</v>
      </c>
      <c r="E10" s="1">
        <v>0</v>
      </c>
      <c r="F10" s="21">
        <f>((D10/24)+(E10/24/24))/8*244.7529</f>
        <v>7.648528125</v>
      </c>
      <c r="G10" s="21">
        <f>(B10/24)*F10</f>
        <v>7.608692041015625</v>
      </c>
      <c r="H10" s="4">
        <v>7.735376203703703</v>
      </c>
      <c r="I10" s="4">
        <v>80</v>
      </c>
      <c r="J10" s="4">
        <f>H10/J1*K1</f>
        <v>83.23177279846149</v>
      </c>
      <c r="K10" s="4">
        <v>23.875</v>
      </c>
      <c r="L10" s="13">
        <f>244.753/O10</f>
        <v>48.00001961161645</v>
      </c>
      <c r="M10">
        <v>4</v>
      </c>
      <c r="N10" s="1">
        <v>0</v>
      </c>
      <c r="O10" s="21">
        <f>((M10/24)+(N10/24/24))/8*244.7529</f>
        <v>5.09901875</v>
      </c>
      <c r="P10" s="21">
        <f>(K10/24)*O10</f>
        <v>5.072461360677083</v>
      </c>
      <c r="Q10" s="4">
        <v>5.156917469135802</v>
      </c>
      <c r="R10" s="4">
        <f>52+(10/12)</f>
        <v>52.833333333333336</v>
      </c>
      <c r="S10" s="4">
        <f>Q10/J1*K1</f>
        <v>55.48784853230766</v>
      </c>
      <c r="T10" s="17"/>
      <c r="U10" s="13"/>
      <c r="Y10" s="21"/>
      <c r="Z10" s="32"/>
      <c r="AA10" s="4"/>
      <c r="AB10" s="4"/>
      <c r="AC10" s="21"/>
      <c r="AD10" s="13"/>
      <c r="AF10" s="1"/>
      <c r="AH10" s="4"/>
      <c r="AJ10" s="4"/>
      <c r="AK10" s="4"/>
      <c r="AL10" s="17"/>
      <c r="AM10" s="13"/>
      <c r="AP10" s="21"/>
      <c r="AQ10" s="21"/>
      <c r="AR10" s="17"/>
      <c r="AS10" s="4"/>
      <c r="AT10" s="4"/>
      <c r="AU10" s="4">
        <v>24</v>
      </c>
      <c r="AV10" s="13">
        <f>244.7529/BA10</f>
        <v>68.77013205956729</v>
      </c>
      <c r="AW10">
        <v>2</v>
      </c>
      <c r="AX10">
        <v>18</v>
      </c>
      <c r="AY10" s="21">
        <f>((AW10/24)+(AX10/24/24))/8*244.7529</f>
        <v>3.5055753906250002</v>
      </c>
      <c r="AZ10" s="4">
        <f>AY10*(AU10/24)</f>
        <v>3.5055753906250002</v>
      </c>
      <c r="BA10" s="4">
        <v>3.559</v>
      </c>
      <c r="BB10" s="4">
        <v>37.5</v>
      </c>
      <c r="BC10" s="4">
        <f>BA10/J1*K1</f>
        <v>38.29443734719628</v>
      </c>
      <c r="BD10" s="4">
        <v>23.125</v>
      </c>
      <c r="BE10" s="4">
        <v>70</v>
      </c>
      <c r="BF10">
        <v>2</v>
      </c>
      <c r="BG10">
        <f>((244.7529/70)/(244.7259/24/8)-2)*(24)</f>
        <v>17.835834131164706</v>
      </c>
      <c r="BH10" s="21">
        <f>((BF10/24)+(BG10/24/24))/8*244.7529</f>
        <v>3.4968557568406125</v>
      </c>
      <c r="BI10" s="21">
        <f>BH10*(BD10/24)</f>
        <v>3.3693662240391316</v>
      </c>
      <c r="BJ10" s="21">
        <f>BD10/24*244.7529/BE10</f>
        <v>3.36899453125</v>
      </c>
      <c r="BK10" s="4">
        <v>32.5</v>
      </c>
      <c r="BL10" s="4">
        <v>3.25</v>
      </c>
    </row>
    <row r="11" spans="1:64" ht="12.75">
      <c r="A11" s="23"/>
      <c r="C11" s="13"/>
      <c r="E11" s="1"/>
      <c r="F11" s="21"/>
      <c r="G11" s="21"/>
      <c r="I11" s="4"/>
      <c r="J11" s="4"/>
      <c r="K11" s="4"/>
      <c r="R11" s="4"/>
      <c r="S11" s="4"/>
      <c r="T11" s="17"/>
      <c r="U11" s="13"/>
      <c r="Y11" s="21"/>
      <c r="Z11" s="32"/>
      <c r="AA11" s="4"/>
      <c r="AB11" s="4"/>
      <c r="AC11" s="21"/>
      <c r="AD11" s="13"/>
      <c r="AF11" s="1"/>
      <c r="AH11" s="4"/>
      <c r="AJ11" s="4"/>
      <c r="AK11" s="4"/>
      <c r="AL11" s="17"/>
      <c r="AM11" s="13"/>
      <c r="AP11" s="21"/>
      <c r="AQ11" s="21"/>
      <c r="AR11" s="17"/>
      <c r="AS11" s="4"/>
      <c r="AT11" s="4"/>
      <c r="AU11" s="4"/>
      <c r="AV11" s="13"/>
      <c r="AZ11" s="4"/>
      <c r="BA11" s="4"/>
      <c r="BB11" s="4"/>
      <c r="BC11" s="4"/>
      <c r="BD11" s="4"/>
      <c r="BE11" s="4"/>
      <c r="BI11" s="21"/>
      <c r="BJ11" s="21"/>
      <c r="BK11" s="4"/>
      <c r="BL11" s="4"/>
    </row>
    <row r="12" spans="1:64" ht="12.75">
      <c r="A12" s="23" t="s">
        <v>50</v>
      </c>
      <c r="B12">
        <v>23.875</v>
      </c>
      <c r="C12" s="13">
        <f>244.753/F12</f>
        <v>32.000013074410965</v>
      </c>
      <c r="D12">
        <v>6</v>
      </c>
      <c r="E12" s="1">
        <v>0</v>
      </c>
      <c r="F12" s="21">
        <f>((D12/24)+(E12/24/24))/8*244.7529</f>
        <v>7.648528125</v>
      </c>
      <c r="G12" s="21">
        <f>(B12/24)*F12</f>
        <v>7.608692041015625</v>
      </c>
      <c r="H12" s="4">
        <v>7.735376203703703</v>
      </c>
      <c r="I12" s="4">
        <v>92.5</v>
      </c>
      <c r="J12" s="4">
        <f>H12/J2*K2</f>
        <v>93.88011554529113</v>
      </c>
      <c r="K12" s="4">
        <v>23.875</v>
      </c>
      <c r="L12" s="13">
        <f>244.753/O12</f>
        <v>48.00001961161645</v>
      </c>
      <c r="M12">
        <v>4</v>
      </c>
      <c r="N12" s="1">
        <v>0</v>
      </c>
      <c r="O12" s="21">
        <f>((M12/24)+(N12/24/24))/8*244.7529</f>
        <v>5.09901875</v>
      </c>
      <c r="P12" s="21">
        <f>(K12/24)*O12</f>
        <v>5.072461360677083</v>
      </c>
      <c r="Q12" s="4">
        <v>5.156917469135802</v>
      </c>
      <c r="R12" s="4">
        <v>61</v>
      </c>
      <c r="S12" s="4">
        <f>Q12/J2*K2</f>
        <v>62.58674369686076</v>
      </c>
      <c r="T12" s="17"/>
      <c r="U12" s="13"/>
      <c r="Y12" s="21"/>
      <c r="Z12" s="32"/>
      <c r="AA12" s="4"/>
      <c r="AB12" s="4"/>
      <c r="AC12" s="21">
        <f>15+(11/12)</f>
        <v>15.916666666666666</v>
      </c>
      <c r="AD12" s="13">
        <v>74</v>
      </c>
      <c r="AE12">
        <v>2</v>
      </c>
      <c r="AF12" s="1">
        <v>14</v>
      </c>
      <c r="AG12" s="21">
        <f>((AE12/24)+(AF12/24/24))/8*244.7529</f>
        <v>3.293116276041667</v>
      </c>
      <c r="AH12" s="4">
        <f>AC12/24*AG12</f>
        <v>2.1839764191804107</v>
      </c>
      <c r="AI12">
        <v>2.193</v>
      </c>
      <c r="AJ12" s="4">
        <v>26.25</v>
      </c>
      <c r="AK12" s="4">
        <f>AI12/J2*K2</f>
        <v>26.615265756854644</v>
      </c>
      <c r="AL12" s="17">
        <v>14</v>
      </c>
      <c r="AM12" s="13">
        <v>84</v>
      </c>
      <c r="AN12">
        <v>2</v>
      </c>
      <c r="AO12">
        <v>6</v>
      </c>
      <c r="AP12" s="21">
        <f>((AN12/24)+(AO12/24/24))/8*244.7529</f>
        <v>2.8681980468750004</v>
      </c>
      <c r="AQ12" s="21">
        <f>AL12/24*AP12</f>
        <v>1.6731155273437504</v>
      </c>
      <c r="AR12" s="17">
        <f>244.7529/AM12*(AL12/24)</f>
        <v>1.6996729166666669</v>
      </c>
      <c r="AS12" s="4"/>
      <c r="AT12" s="4">
        <f>AR12/J2*K2</f>
        <v>20.628019323671495</v>
      </c>
      <c r="AU12" s="4">
        <v>24</v>
      </c>
      <c r="AV12" s="13">
        <f>244.7529/BA12</f>
        <v>68.77013205956729</v>
      </c>
      <c r="AW12">
        <v>2</v>
      </c>
      <c r="AX12">
        <v>18</v>
      </c>
      <c r="AY12" s="21">
        <f>((AW12/24)+(AX12/24/24))/8*244.7529</f>
        <v>3.5055753906250002</v>
      </c>
      <c r="AZ12" s="4">
        <f>AY12*(AU12/24)</f>
        <v>3.5055753906250002</v>
      </c>
      <c r="BA12" s="4">
        <v>3.559</v>
      </c>
      <c r="BB12" s="4">
        <v>41.5</v>
      </c>
      <c r="BC12" s="4">
        <f>BA12/J2*K2</f>
        <v>43.193675708456766</v>
      </c>
      <c r="BD12" s="4"/>
      <c r="BE12" s="4"/>
      <c r="BH12" s="21"/>
      <c r="BI12" s="21"/>
      <c r="BJ12" s="21"/>
      <c r="BK12" s="4"/>
      <c r="BL12" s="4"/>
    </row>
    <row r="13" spans="1:64" ht="12.75">
      <c r="A13" s="5" t="s">
        <v>52</v>
      </c>
      <c r="C13" s="13"/>
      <c r="E13" s="1"/>
      <c r="F13" s="21"/>
      <c r="G13" s="21"/>
      <c r="I13" s="4"/>
      <c r="J13" s="4"/>
      <c r="K13" s="4"/>
      <c r="R13" s="4"/>
      <c r="S13" s="4"/>
      <c r="T13" s="17"/>
      <c r="U13" s="13"/>
      <c r="Y13" s="21"/>
      <c r="Z13" s="32"/>
      <c r="AA13" s="4"/>
      <c r="AB13" s="4"/>
      <c r="AC13" s="21"/>
      <c r="AD13" s="13"/>
      <c r="AF13" s="1"/>
      <c r="AH13" s="4"/>
      <c r="AJ13" s="4"/>
      <c r="AK13" s="4"/>
      <c r="AL13" s="17"/>
      <c r="AM13" s="13"/>
      <c r="AP13" s="21"/>
      <c r="AQ13" s="21"/>
      <c r="AR13" s="17"/>
      <c r="AS13" s="4"/>
      <c r="AT13" s="4"/>
      <c r="AU13" s="4"/>
      <c r="AV13" s="13"/>
      <c r="AZ13" s="4"/>
      <c r="BA13" s="4"/>
      <c r="BB13" s="4"/>
      <c r="BC13" s="4"/>
      <c r="BD13" s="4">
        <v>23</v>
      </c>
      <c r="BE13" s="4">
        <f>71+1/6</f>
        <v>71.16666666666667</v>
      </c>
      <c r="BF13">
        <v>2</v>
      </c>
      <c r="BG13">
        <f>((244.7529/71.166667)/(244.7259/24/8)-2)*(24)</f>
        <v>16.75655785849195</v>
      </c>
      <c r="BH13" s="21">
        <f>((BF13/24)+(BG13/24/24))/8*244.7529</f>
        <v>3.4395302365198988</v>
      </c>
      <c r="BI13" s="21">
        <f>BH13*(BD13/24)</f>
        <v>3.296216476664903</v>
      </c>
      <c r="BJ13" s="21">
        <f>BD13/24*(244.7529/BE13)</f>
        <v>3.2958528688524593</v>
      </c>
      <c r="BK13" s="4">
        <v>40</v>
      </c>
      <c r="BL13" s="4">
        <v>40</v>
      </c>
    </row>
    <row r="14" spans="1:64" ht="12.75">
      <c r="A14" s="23"/>
      <c r="C14" s="13"/>
      <c r="E14" s="1"/>
      <c r="F14" s="21"/>
      <c r="G14" s="21"/>
      <c r="I14" s="4"/>
      <c r="J14" s="4"/>
      <c r="U14" s="13"/>
      <c r="AF14" s="1"/>
      <c r="AH14" s="4"/>
      <c r="AJ14" s="4"/>
      <c r="AK14" s="4"/>
      <c r="AL14" s="17"/>
      <c r="AM14" s="13"/>
      <c r="AP14" s="21"/>
      <c r="AQ14" s="21"/>
      <c r="AR14" s="17"/>
      <c r="AS14" s="4"/>
      <c r="AT14" s="4"/>
      <c r="AU14" s="4"/>
      <c r="AV14" s="13"/>
      <c r="AZ14" s="4"/>
      <c r="BA14" s="4"/>
      <c r="BB14" s="4"/>
      <c r="BC14" s="4"/>
      <c r="BD14" s="4"/>
      <c r="BE14" s="4"/>
      <c r="BI14" s="21"/>
      <c r="BJ14" s="21"/>
      <c r="BK14" s="4"/>
      <c r="BL14" s="4"/>
    </row>
    <row r="15" spans="1:64" ht="12.75">
      <c r="A15" s="23" t="s">
        <v>53</v>
      </c>
      <c r="B15">
        <v>23.875</v>
      </c>
      <c r="C15" s="13">
        <f>244.753/F15</f>
        <v>32.000013074410965</v>
      </c>
      <c r="D15">
        <v>6</v>
      </c>
      <c r="E15" s="1">
        <v>0</v>
      </c>
      <c r="F15" s="21">
        <f>((D15/24)+(E15/24/24))/8*244.7529</f>
        <v>7.648528125</v>
      </c>
      <c r="G15" s="21">
        <f>(B15/24)*F15</f>
        <v>7.608692041015625</v>
      </c>
      <c r="H15" s="4">
        <v>7.735376203703703</v>
      </c>
      <c r="I15" s="4">
        <v>92.5</v>
      </c>
      <c r="J15" s="4">
        <f>H15/J2*K2</f>
        <v>93.88011554529113</v>
      </c>
      <c r="K15" s="4">
        <v>23.875</v>
      </c>
      <c r="L15" s="13">
        <f>244.753/O15</f>
        <v>48.00001961161645</v>
      </c>
      <c r="M15">
        <v>4</v>
      </c>
      <c r="N15" s="1">
        <v>0</v>
      </c>
      <c r="O15" s="21">
        <f>((M15/24)+(N15/24/24))/8*244.7529</f>
        <v>5.09901875</v>
      </c>
      <c r="P15" s="21">
        <f>(K15/24)*O15</f>
        <v>5.072461360677083</v>
      </c>
      <c r="Q15" s="4">
        <v>5.156917469135802</v>
      </c>
      <c r="R15" s="4">
        <v>61</v>
      </c>
      <c r="S15" s="4">
        <f>Q15/J1*K2</f>
        <v>61.22797079427052</v>
      </c>
      <c r="T15" s="17">
        <v>22</v>
      </c>
      <c r="U15" s="13">
        <f>244.7529/3.714</f>
        <v>65.90008077544427</v>
      </c>
      <c r="V15">
        <v>2</v>
      </c>
      <c r="W15">
        <v>20</v>
      </c>
      <c r="X15" s="21">
        <f>((V15/24)+(W15/24/24))/8*244.7529</f>
        <v>3.6118049479166667</v>
      </c>
      <c r="Y15" s="21">
        <f>T15/24*X15</f>
        <v>3.3108212022569443</v>
      </c>
      <c r="Z15" s="32">
        <f>373.242/100.5*T15/24</f>
        <v>3.404363184079602</v>
      </c>
      <c r="AA15" s="4">
        <v>40.5</v>
      </c>
      <c r="AB15" s="4">
        <f>Z15/J2*K2</f>
        <v>41.316931544519136</v>
      </c>
      <c r="AC15" s="21">
        <f>15+(11/12)</f>
        <v>15.916666666666666</v>
      </c>
      <c r="AD15" s="13">
        <v>74</v>
      </c>
      <c r="AE15">
        <v>2</v>
      </c>
      <c r="AF15" s="1">
        <v>14</v>
      </c>
      <c r="AG15" s="21">
        <f>((AE15/24)+(AF15/24/24))/8*244.7529</f>
        <v>3.293116276041667</v>
      </c>
      <c r="AH15" s="4">
        <f>AC15/24*AG15</f>
        <v>2.1839764191804107</v>
      </c>
      <c r="AI15">
        <v>2.193</v>
      </c>
      <c r="AJ15" s="4">
        <v>26.25</v>
      </c>
      <c r="AK15" s="4">
        <f>AI15/J2*K2</f>
        <v>26.615265756854644</v>
      </c>
      <c r="AL15" s="17">
        <v>14</v>
      </c>
      <c r="AM15" s="13">
        <v>84</v>
      </c>
      <c r="AN15">
        <v>2</v>
      </c>
      <c r="AO15">
        <v>6</v>
      </c>
      <c r="AP15" s="21">
        <f>((AN15/24)+(AO15/24/24))/8*244.7529</f>
        <v>2.8681980468750004</v>
      </c>
      <c r="AQ15" s="21">
        <f>AL15/24*AP15</f>
        <v>1.6731155273437504</v>
      </c>
      <c r="AR15" s="17">
        <f>244.7529/AM15*(AL15/24)</f>
        <v>1.6996729166666669</v>
      </c>
      <c r="AS15" s="4">
        <f>AR15/AI15*AJ15</f>
        <v>20.34492205312358</v>
      </c>
      <c r="AT15" s="4">
        <f>AR15/J2*K2</f>
        <v>20.628019323671495</v>
      </c>
      <c r="AU15" s="4">
        <v>24</v>
      </c>
      <c r="AV15" s="13">
        <f>244.7529/BA15</f>
        <v>68.77013205956729</v>
      </c>
      <c r="AW15">
        <v>2</v>
      </c>
      <c r="AX15">
        <v>18</v>
      </c>
      <c r="AY15" s="21">
        <f>((AW15/24)+(AX15/24/24))/8*244.7529</f>
        <v>3.5055753906250002</v>
      </c>
      <c r="AZ15" s="4">
        <f>AY15*(AU15/24)</f>
        <v>3.5055753906250002</v>
      </c>
      <c r="BA15" s="4">
        <v>3.559</v>
      </c>
      <c r="BB15" s="4">
        <v>41.5</v>
      </c>
      <c r="BC15" s="4">
        <f>BA15/J2*K2</f>
        <v>43.193675708456766</v>
      </c>
      <c r="BD15" s="4">
        <v>23</v>
      </c>
      <c r="BE15" s="4">
        <f>71+1/6</f>
        <v>71.16666666666667</v>
      </c>
      <c r="BF15">
        <v>2</v>
      </c>
      <c r="BG15">
        <f>((244.7529/71.166667)/(244.7259/24/8)-2)*(24)</f>
        <v>16.75655785849195</v>
      </c>
      <c r="BH15" s="21">
        <f>((BF15/24)+(BG15/24/24))/8*244.7529</f>
        <v>3.4395302365198988</v>
      </c>
      <c r="BI15" s="21">
        <f>BH15*(BD15/24)</f>
        <v>3.296216476664903</v>
      </c>
      <c r="BJ15" s="21">
        <f>BD15/24*(244.7529/BE15)</f>
        <v>3.2958528688524593</v>
      </c>
      <c r="BK15" s="4">
        <v>40</v>
      </c>
      <c r="BL15" s="4">
        <v>40</v>
      </c>
    </row>
    <row r="16" spans="1:64" ht="12.75">
      <c r="A16" s="23"/>
      <c r="C16" s="13"/>
      <c r="E16" s="1"/>
      <c r="F16" s="21"/>
      <c r="G16" s="21"/>
      <c r="I16" s="4"/>
      <c r="J16" s="4"/>
      <c r="K16" s="4"/>
      <c r="R16" s="4"/>
      <c r="S16" s="4"/>
      <c r="T16" s="17"/>
      <c r="U16" s="13"/>
      <c r="Y16" s="21"/>
      <c r="Z16" s="32"/>
      <c r="AA16" s="4"/>
      <c r="AB16" s="4"/>
      <c r="AC16" s="21"/>
      <c r="AD16" s="13"/>
      <c r="AF16" s="1"/>
      <c r="AH16" s="4"/>
      <c r="AJ16" s="4"/>
      <c r="AK16" s="4"/>
      <c r="AL16" s="17"/>
      <c r="AM16" s="13"/>
      <c r="AP16" s="21"/>
      <c r="AQ16" s="21"/>
      <c r="AR16" s="17"/>
      <c r="AS16" s="4"/>
      <c r="AT16" s="4"/>
      <c r="AU16" s="4"/>
      <c r="AV16" s="13"/>
      <c r="AZ16" s="4"/>
      <c r="BA16" s="4"/>
      <c r="BB16" s="4"/>
      <c r="BC16" s="4"/>
      <c r="BD16" s="4"/>
      <c r="BE16" s="4"/>
      <c r="BI16" s="21"/>
      <c r="BJ16" s="21"/>
      <c r="BK16" s="4"/>
      <c r="BL16" s="4"/>
    </row>
    <row r="17" spans="1:64" ht="12.75">
      <c r="A17" s="23" t="s">
        <v>54</v>
      </c>
      <c r="B17">
        <v>23.875</v>
      </c>
      <c r="C17" s="13">
        <f>244.753/F17</f>
        <v>32.000013074410965</v>
      </c>
      <c r="D17">
        <v>6</v>
      </c>
      <c r="E17" s="1">
        <v>0</v>
      </c>
      <c r="F17" s="21">
        <f>((D17/24)+(E17/24/24))/8*244.7529</f>
        <v>7.648528125</v>
      </c>
      <c r="G17" s="21">
        <f>(B17/24)*F17</f>
        <v>7.608692041015625</v>
      </c>
      <c r="H17" s="4">
        <v>7.735376203703703</v>
      </c>
      <c r="I17" s="4">
        <v>100</v>
      </c>
      <c r="J17" s="4">
        <f>(I17/I15)*J15</f>
        <v>101.49201680572016</v>
      </c>
      <c r="K17" s="4">
        <v>23.875</v>
      </c>
      <c r="L17" s="13">
        <f>244.753/O17</f>
        <v>48.00001961161645</v>
      </c>
      <c r="M17">
        <v>4</v>
      </c>
      <c r="N17" s="1">
        <v>0</v>
      </c>
      <c r="O17" s="21">
        <f>((M17/24)+(N17/24/24))/8*244.7529</f>
        <v>5.09901875</v>
      </c>
      <c r="P17" s="21">
        <f>(K17/24)*O17</f>
        <v>5.072461360677083</v>
      </c>
      <c r="Q17" s="4">
        <v>5.156917469135802</v>
      </c>
      <c r="R17" s="4">
        <v>66</v>
      </c>
      <c r="S17" s="4">
        <f>(R17/R15)*S15</f>
        <v>66.24665692494844</v>
      </c>
      <c r="T17" s="17">
        <v>22</v>
      </c>
      <c r="U17" s="13">
        <f>244.7529/3.714</f>
        <v>65.90008077544427</v>
      </c>
      <c r="V17">
        <v>2</v>
      </c>
      <c r="W17">
        <v>20</v>
      </c>
      <c r="X17" s="21">
        <f>((V17/24)+(W17/24/24))/8*244.7529</f>
        <v>3.6118049479166667</v>
      </c>
      <c r="Y17" s="21">
        <f>T17/24*X17</f>
        <v>3.3108212022569443</v>
      </c>
      <c r="Z17" s="32">
        <f>373.242/100.5*T17/24</f>
        <v>3.404363184079602</v>
      </c>
      <c r="AA17" s="4">
        <v>44</v>
      </c>
      <c r="AB17" s="4">
        <f>(AA17/AA15)*AB15</f>
        <v>44.88753056688498</v>
      </c>
      <c r="AC17" s="21">
        <f>15+(11/12)</f>
        <v>15.916666666666666</v>
      </c>
      <c r="AD17" s="13">
        <v>74</v>
      </c>
      <c r="AE17">
        <v>2</v>
      </c>
      <c r="AF17" s="1">
        <v>14</v>
      </c>
      <c r="AG17" s="21">
        <f>((AE17/24)+(AF17/24/24))/8*244.7529</f>
        <v>3.293116276041667</v>
      </c>
      <c r="AH17" s="4">
        <f>AC17/24*AG17</f>
        <v>2.1839764191804107</v>
      </c>
      <c r="AI17">
        <v>2.193</v>
      </c>
      <c r="AJ17" s="4">
        <v>27</v>
      </c>
      <c r="AK17" s="4">
        <f>(AJ17/AJ15)*AK15</f>
        <v>27.3757019213362</v>
      </c>
      <c r="AL17" s="17">
        <v>14</v>
      </c>
      <c r="AM17" s="13">
        <v>84</v>
      </c>
      <c r="AN17">
        <v>2</v>
      </c>
      <c r="AO17">
        <v>6</v>
      </c>
      <c r="AP17" s="21">
        <f>((AN17/24)+(AO17/24/24))/8*244.7529</f>
        <v>2.8681980468750004</v>
      </c>
      <c r="AQ17" s="21">
        <f>AL17/24*AP17</f>
        <v>1.6731155273437504</v>
      </c>
      <c r="AR17" s="17">
        <f>244.7529/AM17*(AL17/24)</f>
        <v>1.6996729166666669</v>
      </c>
      <c r="AS17" s="4">
        <v>22</v>
      </c>
      <c r="AT17" s="4"/>
      <c r="AU17" s="4">
        <v>24</v>
      </c>
      <c r="AV17" s="13">
        <f>244.7529/BA17</f>
        <v>68.77013205956729</v>
      </c>
      <c r="AW17">
        <v>2</v>
      </c>
      <c r="AX17">
        <v>18</v>
      </c>
      <c r="AY17" s="21">
        <f>((AW17/24)+(AX17/24/24))/8*244.7529</f>
        <v>3.5055753906250002</v>
      </c>
      <c r="AZ17" s="4">
        <f>AY17*(AU17/24)</f>
        <v>3.5055753906250002</v>
      </c>
      <c r="BA17" s="4">
        <v>3.559</v>
      </c>
      <c r="BB17" s="4">
        <v>45.5</v>
      </c>
      <c r="BC17" s="4">
        <f>(BB17/BB15)*BC15</f>
        <v>47.35692155987429</v>
      </c>
      <c r="BD17" s="4">
        <v>23</v>
      </c>
      <c r="BE17" s="4">
        <f>71+1/6</f>
        <v>71.16666666666667</v>
      </c>
      <c r="BF17">
        <v>2</v>
      </c>
      <c r="BG17">
        <f>((244.7529/71.166667)/(244.7259/24/8)-2)*(24)</f>
        <v>16.75655785849195</v>
      </c>
      <c r="BH17" s="21">
        <f>((BF17/24)+(BG17/24/24))/8*244.7529</f>
        <v>3.4395302365198988</v>
      </c>
      <c r="BI17" s="21">
        <f>BH17*(BD17/24)</f>
        <v>3.296216476664903</v>
      </c>
      <c r="BJ17" s="21">
        <f>BD17/24*(244.7529/BE17)</f>
        <v>3.2958528688524593</v>
      </c>
      <c r="BK17" s="4">
        <f>(AA17/AA15)*BL15</f>
        <v>43.456790123456784</v>
      </c>
      <c r="BL17" s="4">
        <f>(AA17/AA15)*BL15</f>
        <v>43.456790123456784</v>
      </c>
    </row>
    <row r="18" spans="1:64" ht="12.75">
      <c r="A18" s="23"/>
      <c r="C18" s="13"/>
      <c r="E18" s="1"/>
      <c r="F18" s="21"/>
      <c r="G18" s="21"/>
      <c r="I18" s="4"/>
      <c r="J18" s="4"/>
      <c r="K18" s="4"/>
      <c r="R18" s="4"/>
      <c r="S18" s="4"/>
      <c r="T18" s="17"/>
      <c r="U18" s="13"/>
      <c r="Y18" s="21"/>
      <c r="Z18" s="32"/>
      <c r="AA18" s="4"/>
      <c r="AB18" s="4"/>
      <c r="AC18" s="21"/>
      <c r="AD18" s="13"/>
      <c r="AF18" s="1"/>
      <c r="AH18" s="4"/>
      <c r="AJ18" s="4"/>
      <c r="AK18" s="4"/>
      <c r="AL18" s="17"/>
      <c r="AM18" s="13"/>
      <c r="AP18" s="21"/>
      <c r="AQ18" s="21"/>
      <c r="AR18" s="17"/>
      <c r="AS18" s="4"/>
      <c r="AT18" s="4"/>
      <c r="AU18" s="4"/>
      <c r="AV18" s="13"/>
      <c r="AZ18" s="4"/>
      <c r="BA18" s="4"/>
      <c r="BB18" s="4"/>
      <c r="BC18" s="4"/>
      <c r="BD18" s="4"/>
      <c r="BE18" s="4"/>
      <c r="BI18" s="21"/>
      <c r="BJ18" s="21"/>
      <c r="BK18" s="4"/>
      <c r="BL18" s="4"/>
    </row>
    <row r="19" spans="1:64" ht="12.75">
      <c r="A19" s="23" t="s">
        <v>55</v>
      </c>
      <c r="B19">
        <v>23.875</v>
      </c>
      <c r="C19" s="13">
        <f>244.753/F19</f>
        <v>32.000013074410965</v>
      </c>
      <c r="D19">
        <v>6</v>
      </c>
      <c r="E19" s="1">
        <v>0</v>
      </c>
      <c r="F19" s="21">
        <f>((D19/24)+(E19/24/24))/8*244.7529</f>
        <v>7.648528125</v>
      </c>
      <c r="G19" s="21">
        <f>(B19/24)*F19</f>
        <v>7.608692041015625</v>
      </c>
      <c r="H19" s="4">
        <v>7.735376203703703</v>
      </c>
      <c r="I19" s="4">
        <v>102</v>
      </c>
      <c r="J19" s="4">
        <f>H19/J2*45</f>
        <v>105.61512998845252</v>
      </c>
      <c r="K19" s="4">
        <v>23.875</v>
      </c>
      <c r="L19" s="13">
        <f>244.753/O19</f>
        <v>48.00001961161645</v>
      </c>
      <c r="M19">
        <v>4</v>
      </c>
      <c r="N19" s="1">
        <v>0</v>
      </c>
      <c r="O19" s="21">
        <f>((M19/24)+(N19/24/24))/8*244.7529</f>
        <v>5.09901875</v>
      </c>
      <c r="P19" s="21">
        <f>(K19/24)*O19</f>
        <v>5.072461360677083</v>
      </c>
      <c r="Q19" s="4">
        <v>5.156917469135802</v>
      </c>
      <c r="R19" s="4">
        <v>67.5</v>
      </c>
      <c r="S19" s="4">
        <f>Q19/J2*45</f>
        <v>70.41008665896835</v>
      </c>
      <c r="T19" s="17">
        <v>22</v>
      </c>
      <c r="U19" s="13">
        <f>244.7529/3.714</f>
        <v>65.90008077544427</v>
      </c>
      <c r="V19">
        <v>2</v>
      </c>
      <c r="W19">
        <v>20</v>
      </c>
      <c r="X19" s="21">
        <f>((V19/24)+(W19/24/24))/8*244.7529</f>
        <v>3.6118049479166667</v>
      </c>
      <c r="Y19" s="21">
        <f>T19/24*X19</f>
        <v>3.3108212022569443</v>
      </c>
      <c r="Z19" s="32">
        <f>373.242/100.5*T19/24</f>
        <v>3.404363184079602</v>
      </c>
      <c r="AA19" s="4">
        <f>44+(10/12)</f>
        <v>44.833333333333336</v>
      </c>
      <c r="AB19" s="4">
        <f>Z19/J2*45</f>
        <v>46.48154798758403</v>
      </c>
      <c r="AC19" s="21">
        <f>15+(11/12)</f>
        <v>15.916666666666666</v>
      </c>
      <c r="AD19" s="13">
        <v>74</v>
      </c>
      <c r="AE19">
        <v>2</v>
      </c>
      <c r="AF19" s="1">
        <v>14</v>
      </c>
      <c r="AG19" s="21">
        <f>((AE19/24)+(AF19/24/24))/8*244.7529</f>
        <v>3.293116276041667</v>
      </c>
      <c r="AH19" s="4">
        <f>AC19/24*AG19</f>
        <v>2.1839764191804107</v>
      </c>
      <c r="AI19">
        <v>2.193</v>
      </c>
      <c r="AJ19" s="4">
        <v>28.333</v>
      </c>
      <c r="AK19" s="4">
        <f>AI19/J1*45</f>
        <v>29.292122348261827</v>
      </c>
      <c r="AL19" s="17">
        <v>14</v>
      </c>
      <c r="AM19" s="13">
        <v>84</v>
      </c>
      <c r="AN19">
        <v>2</v>
      </c>
      <c r="AO19">
        <v>6</v>
      </c>
      <c r="AP19" s="21">
        <f>((AN19/24)+(AO19/24/24))/8*244.7529</f>
        <v>2.8681980468750004</v>
      </c>
      <c r="AQ19" s="21">
        <f>AL19/24*AP19</f>
        <v>1.6731155273437504</v>
      </c>
      <c r="AR19" s="17">
        <f>244.7529/AM19*(AL19/24)</f>
        <v>1.6996729166666669</v>
      </c>
      <c r="AS19" s="4">
        <v>22.5</v>
      </c>
      <c r="AT19" s="4">
        <f>AR19/J2*45</f>
        <v>23.206521739130434</v>
      </c>
      <c r="AU19" s="4">
        <v>24</v>
      </c>
      <c r="AV19" s="13">
        <f>244.7529/BA19</f>
        <v>68.77013205956729</v>
      </c>
      <c r="AW19">
        <v>2</v>
      </c>
      <c r="AX19">
        <v>18</v>
      </c>
      <c r="AY19" s="21">
        <f>((AW19/24)+(AX19/24/24))/8*244.7529</f>
        <v>3.5055753906250002</v>
      </c>
      <c r="AZ19" s="4">
        <f>AY19*(AU19/24)</f>
        <v>3.5055753906250002</v>
      </c>
      <c r="BA19" s="4">
        <v>3.559</v>
      </c>
      <c r="BB19" s="4">
        <v>46.75</v>
      </c>
      <c r="BC19" s="4">
        <f>BA19/J2*45</f>
        <v>48.59288517201386</v>
      </c>
      <c r="BD19" s="4">
        <v>23</v>
      </c>
      <c r="BE19" s="4">
        <f>71+1/6</f>
        <v>71.16666666666667</v>
      </c>
      <c r="BF19">
        <v>2</v>
      </c>
      <c r="BG19">
        <f>((244.7529/71.166667)/(244.7259/24/8)-2)*(24)</f>
        <v>16.75655785849195</v>
      </c>
      <c r="BH19" s="21">
        <f>((BF19/24)+(BG19/24/24))/8*244.7529</f>
        <v>3.4395302365198988</v>
      </c>
      <c r="BI19" s="21">
        <f>BH19*(BD19/24)</f>
        <v>3.296216476664903</v>
      </c>
      <c r="BJ19" s="21">
        <f>BD19/24*(244.7529/BE19)</f>
        <v>3.2958528688524593</v>
      </c>
      <c r="BK19" s="4">
        <v>45</v>
      </c>
      <c r="BL19" s="4">
        <v>45</v>
      </c>
    </row>
    <row r="20" spans="1:64" ht="12.75">
      <c r="A20" s="23"/>
      <c r="C20" s="13"/>
      <c r="E20" s="1"/>
      <c r="F20" s="21"/>
      <c r="G20" s="21"/>
      <c r="I20" s="4"/>
      <c r="J20" s="4"/>
      <c r="K20" s="4"/>
      <c r="R20" s="4"/>
      <c r="S20" s="4"/>
      <c r="T20" s="17"/>
      <c r="Y20" s="21"/>
      <c r="Z20" s="32"/>
      <c r="AA20" s="4"/>
      <c r="AB20" s="4"/>
      <c r="AC20" s="21"/>
      <c r="AD20" s="13"/>
      <c r="AF20" s="1"/>
      <c r="AH20" s="4"/>
      <c r="AJ20" s="4"/>
      <c r="AK20" s="4"/>
      <c r="AL20" s="17"/>
      <c r="AM20" s="13"/>
      <c r="AQ20" s="21"/>
      <c r="AR20" s="17"/>
      <c r="AS20" s="4"/>
      <c r="AT20" s="4"/>
      <c r="AU20" s="4"/>
      <c r="AV20" s="13"/>
      <c r="AZ20" s="4"/>
      <c r="BA20" s="4"/>
      <c r="BB20" s="4"/>
      <c r="BC20" s="4"/>
      <c r="BD20" s="4"/>
      <c r="BE20" s="4"/>
      <c r="BJ20" s="21"/>
      <c r="BK20" s="4"/>
      <c r="BL20" s="4"/>
    </row>
    <row r="21" spans="1:64" ht="12.75">
      <c r="A21" s="23">
        <v>1542</v>
      </c>
      <c r="C21" s="13"/>
      <c r="E21" s="1"/>
      <c r="F21" s="21"/>
      <c r="G21" s="21"/>
      <c r="I21" s="4"/>
      <c r="J21" s="4"/>
      <c r="K21" s="4"/>
      <c r="R21" s="4"/>
      <c r="S21" s="4"/>
      <c r="T21" s="17"/>
      <c r="Y21" s="21"/>
      <c r="Z21" s="32"/>
      <c r="AA21" s="4"/>
      <c r="AB21" s="4"/>
      <c r="AC21" s="21"/>
      <c r="AD21" s="13"/>
      <c r="AF21" s="1"/>
      <c r="AH21" s="4"/>
      <c r="AJ21" s="4"/>
      <c r="AK21" s="4"/>
      <c r="AL21" s="17"/>
      <c r="AM21" s="13"/>
      <c r="AQ21" s="21"/>
      <c r="AR21" s="17"/>
      <c r="AS21" s="4"/>
      <c r="AT21" s="4"/>
      <c r="AU21" s="4">
        <v>24</v>
      </c>
      <c r="AV21" s="13">
        <f>244.7529/BA21</f>
        <v>68.77013205956729</v>
      </c>
      <c r="AW21">
        <v>2</v>
      </c>
      <c r="AX21">
        <v>18</v>
      </c>
      <c r="AY21" s="21">
        <f>((AW21/24)+(AX21/24/24))/8*244.7529</f>
        <v>3.5055753906250002</v>
      </c>
      <c r="AZ21" s="4">
        <f>AY21*(AU21/24)</f>
        <v>3.5055753906250002</v>
      </c>
      <c r="BA21" s="4">
        <v>3.559</v>
      </c>
      <c r="BB21" s="4">
        <v>48</v>
      </c>
      <c r="BC21" s="4">
        <f>BB21/BB19*BC19</f>
        <v>49.89216017661317</v>
      </c>
      <c r="BD21" s="4"/>
      <c r="BE21" s="4"/>
      <c r="BJ21" s="21"/>
      <c r="BK21" s="4"/>
      <c r="BL21" s="4"/>
    </row>
    <row r="22" spans="1:64" ht="12.75">
      <c r="A22" s="23"/>
      <c r="C22" s="13"/>
      <c r="E22" s="1"/>
      <c r="F22" s="21"/>
      <c r="G22" s="21"/>
      <c r="I22" s="4"/>
      <c r="J22" s="4"/>
      <c r="K22" s="4"/>
      <c r="R22" s="4"/>
      <c r="S22" s="4"/>
      <c r="T22" s="17"/>
      <c r="Y22" s="21"/>
      <c r="Z22" s="32"/>
      <c r="AA22" s="4"/>
      <c r="AB22" s="4"/>
      <c r="AC22" s="21"/>
      <c r="AD22" s="13"/>
      <c r="AF22" s="1"/>
      <c r="AH22" s="4"/>
      <c r="AJ22" s="4"/>
      <c r="AK22" s="4"/>
      <c r="AL22" s="17"/>
      <c r="AM22" s="13"/>
      <c r="AQ22" s="21"/>
      <c r="AR22" s="17"/>
      <c r="AS22" s="4"/>
      <c r="AT22" s="4"/>
      <c r="AU22" s="4"/>
      <c r="AV22" s="13"/>
      <c r="AZ22" s="4"/>
      <c r="BA22" s="4"/>
      <c r="BB22" s="4"/>
      <c r="BC22" s="4"/>
      <c r="BD22" s="4"/>
      <c r="BE22" s="4"/>
      <c r="BJ22" s="21"/>
      <c r="BK22" s="4"/>
      <c r="BL22" s="4"/>
    </row>
    <row r="23" spans="1:64" ht="12.75">
      <c r="A23" s="23"/>
      <c r="C23" s="13"/>
      <c r="E23" s="1"/>
      <c r="F23" s="21"/>
      <c r="G23" s="21"/>
      <c r="I23" s="4"/>
      <c r="J23" s="4"/>
      <c r="K23" s="4"/>
      <c r="R23" s="4"/>
      <c r="S23" s="4"/>
      <c r="T23" s="17"/>
      <c r="Y23" s="21"/>
      <c r="Z23" s="32"/>
      <c r="AA23" s="4"/>
      <c r="AB23" s="4"/>
      <c r="AC23" s="21"/>
      <c r="AD23" s="13"/>
      <c r="AF23" s="1"/>
      <c r="AH23" s="4"/>
      <c r="AJ23" s="4"/>
      <c r="AK23" s="4"/>
      <c r="AL23" s="17"/>
      <c r="AM23" s="13"/>
      <c r="AQ23" s="21"/>
      <c r="AR23" s="17"/>
      <c r="AS23" s="4"/>
      <c r="AT23" s="4"/>
      <c r="AU23" s="4"/>
      <c r="AV23" s="13"/>
      <c r="AZ23" s="4"/>
      <c r="BA23" s="4"/>
      <c r="BB23" s="4"/>
      <c r="BC23" s="4"/>
      <c r="BD23" s="4"/>
      <c r="BE23" s="4"/>
      <c r="BJ23" s="21"/>
      <c r="BK23" s="4"/>
      <c r="BL23" s="4"/>
    </row>
    <row r="24" spans="1:64" ht="12.75">
      <c r="A24" s="23"/>
      <c r="C24" s="13"/>
      <c r="E24" s="1"/>
      <c r="F24" s="21"/>
      <c r="G24" s="21"/>
      <c r="I24" s="4"/>
      <c r="J24" s="4"/>
      <c r="K24" s="4"/>
      <c r="R24" s="4"/>
      <c r="S24" s="4"/>
      <c r="T24" s="17"/>
      <c r="Y24" s="21"/>
      <c r="Z24" s="32"/>
      <c r="AA24" s="4"/>
      <c r="AB24" s="4"/>
      <c r="AC24" s="21"/>
      <c r="AD24" s="13"/>
      <c r="AF24" s="1"/>
      <c r="AH24" s="4"/>
      <c r="AJ24" s="4"/>
      <c r="AK24" s="4"/>
      <c r="AL24" s="17"/>
      <c r="AM24" s="13"/>
      <c r="AQ24" s="21"/>
      <c r="AR24" s="17"/>
      <c r="AS24" s="4"/>
      <c r="AT24" s="4"/>
      <c r="AU24" s="4"/>
      <c r="AV24" s="13"/>
      <c r="AZ24" s="4"/>
      <c r="BA24" s="4"/>
      <c r="BB24" s="4"/>
      <c r="BC24" s="4"/>
      <c r="BD24" s="4"/>
      <c r="BE24" s="4"/>
      <c r="BJ24" s="21"/>
      <c r="BK24" s="4"/>
      <c r="BL24" s="4"/>
    </row>
    <row r="25" spans="1:64" ht="12.75">
      <c r="A25" s="23"/>
      <c r="C25" s="13"/>
      <c r="E25" s="1"/>
      <c r="F25" s="21"/>
      <c r="G25" s="21"/>
      <c r="I25" s="4"/>
      <c r="J25" s="4"/>
      <c r="K25" s="4"/>
      <c r="R25" s="4"/>
      <c r="S25" s="4"/>
      <c r="T25" s="17"/>
      <c r="Y25" s="21"/>
      <c r="Z25" s="32"/>
      <c r="AA25" s="4"/>
      <c r="AB25" s="4"/>
      <c r="AC25" s="21"/>
      <c r="AD25" s="13"/>
      <c r="AF25" s="1"/>
      <c r="AH25" s="4"/>
      <c r="AJ25" s="4"/>
      <c r="AK25" s="4"/>
      <c r="AL25" s="17"/>
      <c r="AM25" s="13"/>
      <c r="AQ25" s="21"/>
      <c r="AR25" s="17"/>
      <c r="AS25" s="4"/>
      <c r="AT25" s="4"/>
      <c r="AU25" s="4"/>
      <c r="AV25" s="13"/>
      <c r="AZ25" s="4"/>
      <c r="BA25" s="4"/>
      <c r="BB25" s="4"/>
      <c r="BC25" s="4"/>
      <c r="BD25" s="4"/>
      <c r="BE25" s="4"/>
      <c r="BJ25" s="21"/>
      <c r="BK25" s="4"/>
      <c r="BL25" s="4"/>
    </row>
    <row r="26" spans="1:64" ht="12.75">
      <c r="A26" s="23"/>
      <c r="C26" s="13"/>
      <c r="E26" s="1"/>
      <c r="F26" s="21"/>
      <c r="G26" s="21"/>
      <c r="I26" s="4"/>
      <c r="J26" s="4"/>
      <c r="K26" s="4"/>
      <c r="R26" s="4"/>
      <c r="S26" s="4"/>
      <c r="T26" s="17"/>
      <c r="Y26" s="21"/>
      <c r="Z26" s="32"/>
      <c r="AA26" s="4"/>
      <c r="AB26" s="4"/>
      <c r="AC26" s="21"/>
      <c r="AD26" s="13"/>
      <c r="AF26" s="1"/>
      <c r="AH26" s="4"/>
      <c r="AJ26" s="4"/>
      <c r="AK26" s="4"/>
      <c r="AL26" s="17"/>
      <c r="AM26" s="13"/>
      <c r="AQ26" s="21"/>
      <c r="AR26" s="17"/>
      <c r="AS26" s="4"/>
      <c r="AT26" s="4"/>
      <c r="AU26" s="4"/>
      <c r="AV26" s="13"/>
      <c r="AZ26" s="4"/>
      <c r="BA26" s="4"/>
      <c r="BB26" s="4"/>
      <c r="BC26" s="4"/>
      <c r="BD26" s="4"/>
      <c r="BE26" s="4"/>
      <c r="BJ26" s="21"/>
      <c r="BK26" s="4"/>
      <c r="BL26" s="4"/>
    </row>
    <row r="27" spans="1:64" ht="12.75">
      <c r="A27" s="23"/>
      <c r="C27" s="13"/>
      <c r="E27" s="1"/>
      <c r="F27" s="21"/>
      <c r="G27" s="21"/>
      <c r="I27" s="4"/>
      <c r="J27" s="4"/>
      <c r="K27" s="4"/>
      <c r="R27" s="4"/>
      <c r="S27" s="4"/>
      <c r="T27" s="17"/>
      <c r="Y27" s="21"/>
      <c r="Z27" s="32"/>
      <c r="AA27" s="4"/>
      <c r="AB27" s="4"/>
      <c r="AC27" s="21"/>
      <c r="AD27" s="13"/>
      <c r="AF27" s="1"/>
      <c r="AH27" s="4"/>
      <c r="AJ27" s="4"/>
      <c r="AK27" s="4"/>
      <c r="AL27" s="17"/>
      <c r="AM27" s="13"/>
      <c r="AQ27" s="21"/>
      <c r="AR27" s="17"/>
      <c r="AS27" s="4"/>
      <c r="AT27" s="4"/>
      <c r="AU27" s="4"/>
      <c r="AV27" s="13"/>
      <c r="AZ27" s="4"/>
      <c r="BA27" s="4"/>
      <c r="BB27" s="4"/>
      <c r="BC27" s="4"/>
      <c r="BD27" s="4"/>
      <c r="BE27" s="4"/>
      <c r="BJ27" s="21"/>
      <c r="BK27" s="4"/>
      <c r="BL27" s="4"/>
    </row>
    <row r="28" spans="1:64" ht="12.75">
      <c r="A28" s="23"/>
      <c r="C28" s="13"/>
      <c r="E28" s="1"/>
      <c r="F28" s="21"/>
      <c r="G28" s="21"/>
      <c r="I28" s="4"/>
      <c r="J28" s="4"/>
      <c r="K28" s="4"/>
      <c r="R28" s="4"/>
      <c r="S28" s="4"/>
      <c r="T28" s="17"/>
      <c r="Y28" s="21"/>
      <c r="Z28" s="32"/>
      <c r="AA28" s="4"/>
      <c r="AB28" s="4"/>
      <c r="AC28" s="21"/>
      <c r="AD28" s="13"/>
      <c r="AF28" s="1"/>
      <c r="AH28" s="4"/>
      <c r="AJ28" s="4"/>
      <c r="AK28" s="4"/>
      <c r="AL28" s="17"/>
      <c r="AM28" s="13"/>
      <c r="AQ28" s="21"/>
      <c r="AR28" s="17"/>
      <c r="AS28" s="4"/>
      <c r="AT28" s="4"/>
      <c r="AU28" s="4"/>
      <c r="AV28" s="13"/>
      <c r="AZ28" s="4"/>
      <c r="BA28" s="4"/>
      <c r="BB28" s="4"/>
      <c r="BC28" s="4"/>
      <c r="BD28" s="4"/>
      <c r="BE28" s="4"/>
      <c r="BJ28" s="21"/>
      <c r="BK28" s="4"/>
      <c r="BL28" s="4"/>
    </row>
    <row r="29" spans="1:64" ht="12.75">
      <c r="A29" s="23"/>
      <c r="C29" s="13"/>
      <c r="E29" s="1"/>
      <c r="F29" s="21"/>
      <c r="G29" s="21"/>
      <c r="I29" s="4"/>
      <c r="J29" s="4"/>
      <c r="K29" s="4"/>
      <c r="R29" s="4"/>
      <c r="S29" s="4"/>
      <c r="T29" s="17"/>
      <c r="Y29" s="21"/>
      <c r="Z29" s="32"/>
      <c r="AA29" s="4"/>
      <c r="AB29" s="4"/>
      <c r="AC29" s="21"/>
      <c r="AD29" s="13"/>
      <c r="AF29" s="1"/>
      <c r="AH29" s="4"/>
      <c r="AJ29" s="4"/>
      <c r="AK29" s="4"/>
      <c r="AL29" s="17"/>
      <c r="AM29" s="13"/>
      <c r="AQ29" s="21"/>
      <c r="AR29" s="17"/>
      <c r="AS29" s="4"/>
      <c r="AT29" s="4"/>
      <c r="AU29" s="4"/>
      <c r="AV29" s="13"/>
      <c r="AZ29" s="4"/>
      <c r="BA29" s="4"/>
      <c r="BB29" s="4"/>
      <c r="BC29" s="4"/>
      <c r="BD29" s="4"/>
      <c r="BE29" s="4"/>
      <c r="BJ29" s="21"/>
      <c r="BK29" s="4"/>
      <c r="BL29" s="4"/>
    </row>
    <row r="30" spans="1:64" ht="12.75">
      <c r="A30" s="23"/>
      <c r="C30" s="13"/>
      <c r="E30" s="1"/>
      <c r="F30" s="21"/>
      <c r="G30" s="21"/>
      <c r="I30" s="4"/>
      <c r="J30" s="4"/>
      <c r="K30" s="4"/>
      <c r="R30" s="4"/>
      <c r="S30" s="4"/>
      <c r="T30" s="17"/>
      <c r="Y30" s="21"/>
      <c r="Z30" s="32"/>
      <c r="AA30" s="4"/>
      <c r="AB30" s="4"/>
      <c r="AC30" s="21"/>
      <c r="AD30" s="13"/>
      <c r="AF30" s="1"/>
      <c r="AH30" s="4"/>
      <c r="AJ30" s="4"/>
      <c r="AK30" s="4"/>
      <c r="AL30" s="17"/>
      <c r="AM30" s="13"/>
      <c r="AQ30" s="21"/>
      <c r="AR30" s="17"/>
      <c r="AS30" s="4"/>
      <c r="AT30" s="4"/>
      <c r="AU30" s="4"/>
      <c r="AV30" s="13"/>
      <c r="AZ30" s="4"/>
      <c r="BA30" s="4"/>
      <c r="BB30" s="4"/>
      <c r="BC30" s="4"/>
      <c r="BD30" s="4"/>
      <c r="BE30" s="4"/>
      <c r="BJ30" s="21"/>
      <c r="BK30" s="4"/>
      <c r="BL30" s="4"/>
    </row>
    <row r="31" spans="1:64" ht="12.75">
      <c r="A31" s="23"/>
      <c r="C31" s="13"/>
      <c r="E31" s="1"/>
      <c r="F31" s="21"/>
      <c r="G31" s="21"/>
      <c r="I31" s="4"/>
      <c r="J31" s="4"/>
      <c r="K31" s="4"/>
      <c r="R31" s="4"/>
      <c r="S31" s="4"/>
      <c r="T31" s="17"/>
      <c r="Y31" s="21"/>
      <c r="Z31" s="32"/>
      <c r="AA31" s="4"/>
      <c r="AB31" s="4"/>
      <c r="AC31" s="21"/>
      <c r="AD31" s="13"/>
      <c r="AF31" s="1"/>
      <c r="AH31" s="4"/>
      <c r="AJ31" s="4"/>
      <c r="AK31" s="4"/>
      <c r="AL31" s="17"/>
      <c r="AM31" s="13"/>
      <c r="AQ31" s="21"/>
      <c r="AR31" s="17"/>
      <c r="AS31" s="4"/>
      <c r="AT31" s="4"/>
      <c r="AU31" s="4"/>
      <c r="AV31" s="13"/>
      <c r="AZ31" s="4"/>
      <c r="BA31" s="4"/>
      <c r="BB31" s="4"/>
      <c r="BC31" s="4"/>
      <c r="BD31" s="4"/>
      <c r="BE31" s="4"/>
      <c r="BJ31" s="21"/>
      <c r="BK31" s="4"/>
      <c r="BL31" s="4"/>
    </row>
    <row r="32" spans="1:64" ht="12.75">
      <c r="A32" s="23"/>
      <c r="C32" s="13"/>
      <c r="E32" s="1"/>
      <c r="F32" s="21"/>
      <c r="G32" s="21"/>
      <c r="I32" s="4"/>
      <c r="J32" s="4"/>
      <c r="K32" s="4"/>
      <c r="R32" s="4"/>
      <c r="S32" s="4"/>
      <c r="T32" s="17"/>
      <c r="Y32" s="21"/>
      <c r="Z32" s="32"/>
      <c r="AA32" s="4"/>
      <c r="AB32" s="4"/>
      <c r="AC32" s="21"/>
      <c r="AD32" s="13"/>
      <c r="AF32" s="1"/>
      <c r="AH32" s="4"/>
      <c r="AJ32" s="4"/>
      <c r="AK32" s="4"/>
      <c r="AL32" s="17"/>
      <c r="AM32" s="13"/>
      <c r="AQ32" s="21"/>
      <c r="AR32" s="17"/>
      <c r="AS32" s="4"/>
      <c r="AT32" s="4"/>
      <c r="AU32" s="4"/>
      <c r="AV32" s="13"/>
      <c r="AZ32" s="4"/>
      <c r="BA32" s="4"/>
      <c r="BB32" s="4"/>
      <c r="BC32" s="4"/>
      <c r="BD32" s="4"/>
      <c r="BE32" s="4"/>
      <c r="BJ32" s="21"/>
      <c r="BK32" s="4"/>
      <c r="BL32" s="4"/>
    </row>
    <row r="33" spans="1:64" ht="12.75">
      <c r="A33" s="23"/>
      <c r="C33" s="13"/>
      <c r="E33" s="1"/>
      <c r="F33" s="21"/>
      <c r="G33" s="21"/>
      <c r="I33" s="4"/>
      <c r="J33" s="4"/>
      <c r="K33" s="4"/>
      <c r="R33" s="4"/>
      <c r="S33" s="4"/>
      <c r="T33" s="17"/>
      <c r="Y33" s="21"/>
      <c r="Z33" s="32"/>
      <c r="AA33" s="4"/>
      <c r="AB33" s="4"/>
      <c r="AC33" s="21"/>
      <c r="AD33" s="13"/>
      <c r="AF33" s="1"/>
      <c r="AH33" s="4"/>
      <c r="AJ33" s="4"/>
      <c r="AK33" s="4"/>
      <c r="AL33" s="17"/>
      <c r="AM33" s="13"/>
      <c r="AQ33" s="21"/>
      <c r="AR33" s="17"/>
      <c r="AS33" s="4"/>
      <c r="AT33" s="4"/>
      <c r="AU33" s="4"/>
      <c r="AV33" s="13"/>
      <c r="AZ33" s="4"/>
      <c r="BA33" s="4"/>
      <c r="BB33" s="4"/>
      <c r="BC33" s="4"/>
      <c r="BD33" s="4"/>
      <c r="BE33" s="4"/>
      <c r="BJ33" s="21"/>
      <c r="BK33" s="4"/>
      <c r="BL33" s="4"/>
    </row>
    <row r="34" spans="1:64" ht="12.75">
      <c r="A34" s="23"/>
      <c r="C34" s="13"/>
      <c r="E34" s="1"/>
      <c r="F34" s="21"/>
      <c r="G34" s="21"/>
      <c r="I34" s="4"/>
      <c r="J34" s="4"/>
      <c r="K34" s="4"/>
      <c r="R34" s="4"/>
      <c r="S34" s="4"/>
      <c r="T34" s="17"/>
      <c r="Y34" s="21"/>
      <c r="Z34" s="32"/>
      <c r="AA34" s="4"/>
      <c r="AB34" s="4"/>
      <c r="AC34" s="21"/>
      <c r="AD34" s="13"/>
      <c r="AF34" s="1"/>
      <c r="AH34" s="4"/>
      <c r="AJ34" s="4"/>
      <c r="AK34" s="4"/>
      <c r="AL34" s="17"/>
      <c r="AM34" s="13"/>
      <c r="AQ34" s="21"/>
      <c r="AR34" s="17"/>
      <c r="AS34" s="4"/>
      <c r="AT34" s="4"/>
      <c r="AU34" s="4"/>
      <c r="AV34" s="13"/>
      <c r="AZ34" s="4"/>
      <c r="BA34" s="4"/>
      <c r="BB34" s="4"/>
      <c r="BC34" s="4"/>
      <c r="BD34" s="4"/>
      <c r="BE34" s="4"/>
      <c r="BJ34" s="21"/>
      <c r="BK34" s="4"/>
      <c r="BL34" s="4"/>
    </row>
    <row r="35" spans="1:64" ht="12.75">
      <c r="A35" s="23"/>
      <c r="C35" s="13"/>
      <c r="E35" s="1"/>
      <c r="F35" s="21"/>
      <c r="G35" s="21"/>
      <c r="I35" s="4"/>
      <c r="J35" s="4"/>
      <c r="K35" s="4"/>
      <c r="R35" s="4"/>
      <c r="S35" s="4"/>
      <c r="T35" s="17"/>
      <c r="Y35" s="21"/>
      <c r="Z35" s="32"/>
      <c r="AA35" s="4"/>
      <c r="AB35" s="4"/>
      <c r="AC35" s="21"/>
      <c r="AD35" s="13"/>
      <c r="AF35" s="1"/>
      <c r="AH35" s="4"/>
      <c r="AJ35" s="4"/>
      <c r="AK35" s="4"/>
      <c r="AL35" s="17"/>
      <c r="AM35" s="13"/>
      <c r="AQ35" s="21"/>
      <c r="AR35" s="17"/>
      <c r="AS35" s="4"/>
      <c r="AT35" s="4"/>
      <c r="AU35" s="4"/>
      <c r="AV35" s="13"/>
      <c r="AZ35" s="4"/>
      <c r="BA35" s="4"/>
      <c r="BB35" s="4"/>
      <c r="BC35" s="4"/>
      <c r="BD35" s="4"/>
      <c r="BE35" s="4"/>
      <c r="BJ35" s="21"/>
      <c r="BK35" s="4"/>
      <c r="BL35" s="4"/>
    </row>
    <row r="36" spans="1:64" ht="12.75">
      <c r="A36" s="23"/>
      <c r="C36" s="13"/>
      <c r="E36" s="1"/>
      <c r="F36" s="21"/>
      <c r="G36" s="21"/>
      <c r="I36" s="4"/>
      <c r="J36" s="4"/>
      <c r="K36" s="4"/>
      <c r="R36" s="4"/>
      <c r="S36" s="4"/>
      <c r="T36" s="17"/>
      <c r="Y36" s="21"/>
      <c r="Z36" s="32"/>
      <c r="AA36" s="4"/>
      <c r="AB36" s="4"/>
      <c r="AC36" s="21"/>
      <c r="AD36" s="13"/>
      <c r="AF36" s="1"/>
      <c r="AH36" s="4"/>
      <c r="AJ36" s="4"/>
      <c r="AK36" s="4"/>
      <c r="AL36" s="17"/>
      <c r="AM36" s="13"/>
      <c r="AQ36" s="21"/>
      <c r="AR36" s="17"/>
      <c r="AS36" s="4"/>
      <c r="AT36" s="4"/>
      <c r="AU36" s="4"/>
      <c r="AV36" s="13"/>
      <c r="AZ36" s="4"/>
      <c r="BA36" s="4"/>
      <c r="BB36" s="4"/>
      <c r="BC36" s="4"/>
      <c r="BD36" s="4"/>
      <c r="BE36" s="4"/>
      <c r="BJ36" s="21"/>
      <c r="BK36" s="4"/>
      <c r="BL36" s="4"/>
    </row>
    <row r="37" spans="1:64" ht="12.75">
      <c r="A37" s="23"/>
      <c r="C37" s="13"/>
      <c r="E37" s="1"/>
      <c r="F37" s="21"/>
      <c r="G37" s="21"/>
      <c r="I37" s="4"/>
      <c r="J37" s="4"/>
      <c r="K37" s="4"/>
      <c r="R37" s="4"/>
      <c r="S37" s="4"/>
      <c r="T37" s="17"/>
      <c r="Y37" s="21"/>
      <c r="Z37" s="32"/>
      <c r="AA37" s="4"/>
      <c r="AB37" s="4"/>
      <c r="AC37" s="21"/>
      <c r="AD37" s="13"/>
      <c r="AF37" s="1"/>
      <c r="AH37" s="4"/>
      <c r="AJ37" s="4"/>
      <c r="AK37" s="4"/>
      <c r="AL37" s="17"/>
      <c r="AM37" s="13"/>
      <c r="AQ37" s="21"/>
      <c r="AR37" s="17"/>
      <c r="AS37" s="4"/>
      <c r="AT37" s="4"/>
      <c r="AU37" s="4"/>
      <c r="AV37" s="13"/>
      <c r="AZ37" s="4"/>
      <c r="BA37" s="4"/>
      <c r="BB37" s="4"/>
      <c r="BC37" s="4"/>
      <c r="BD37" s="4"/>
      <c r="BE37" s="4"/>
      <c r="BJ37" s="21"/>
      <c r="BK37" s="4"/>
      <c r="BL37" s="4"/>
    </row>
    <row r="38" spans="1:64" ht="12.75">
      <c r="A38" s="23"/>
      <c r="C38" s="13"/>
      <c r="E38" s="1"/>
      <c r="F38" s="21"/>
      <c r="G38" s="21"/>
      <c r="I38" s="4"/>
      <c r="J38" s="4"/>
      <c r="K38" s="4"/>
      <c r="R38" s="4"/>
      <c r="S38" s="4"/>
      <c r="T38" s="17"/>
      <c r="Y38" s="21"/>
      <c r="Z38" s="32"/>
      <c r="AA38" s="4"/>
      <c r="AB38" s="4"/>
      <c r="AC38" s="21"/>
      <c r="AD38" s="13"/>
      <c r="AF38" s="1"/>
      <c r="AH38" s="4"/>
      <c r="AJ38" s="4"/>
      <c r="AK38" s="4"/>
      <c r="AL38" s="17"/>
      <c r="AM38" s="13"/>
      <c r="AQ38" s="21"/>
      <c r="AR38" s="17"/>
      <c r="AS38" s="4"/>
      <c r="AT38" s="4"/>
      <c r="AU38" s="4"/>
      <c r="AV38" s="13"/>
      <c r="AZ38" s="4"/>
      <c r="BA38" s="4"/>
      <c r="BB38" s="4"/>
      <c r="BC38" s="4"/>
      <c r="BD38" s="4"/>
      <c r="BE38" s="4"/>
      <c r="BJ38" s="21"/>
      <c r="BK38" s="4"/>
      <c r="BL38" s="4"/>
    </row>
    <row r="39" spans="1:64" ht="12.75">
      <c r="A39" s="23"/>
      <c r="C39" s="13"/>
      <c r="E39" s="1"/>
      <c r="F39" s="21"/>
      <c r="G39" s="21"/>
      <c r="I39" s="4"/>
      <c r="J39" s="4"/>
      <c r="K39" s="4"/>
      <c r="R39" s="4"/>
      <c r="S39" s="4"/>
      <c r="T39" s="17"/>
      <c r="Y39" s="21"/>
      <c r="Z39" s="32"/>
      <c r="AA39" s="4"/>
      <c r="AB39" s="4"/>
      <c r="AC39" s="21"/>
      <c r="AD39" s="13"/>
      <c r="AF39" s="1"/>
      <c r="AH39" s="4"/>
      <c r="AJ39" s="4"/>
      <c r="AK39" s="4"/>
      <c r="AL39" s="17"/>
      <c r="AM39" s="13"/>
      <c r="AQ39" s="21"/>
      <c r="AR39" s="17"/>
      <c r="AS39" s="4"/>
      <c r="AT39" s="4"/>
      <c r="AU39" s="4"/>
      <c r="AV39" s="13"/>
      <c r="AZ39" s="4"/>
      <c r="BA39" s="4"/>
      <c r="BB39" s="4"/>
      <c r="BC39" s="4"/>
      <c r="BD39" s="4"/>
      <c r="BE39" s="4"/>
      <c r="BJ39" s="21"/>
      <c r="BK39" s="4"/>
      <c r="BL39" s="4"/>
    </row>
    <row r="40" spans="1:64" ht="12.75">
      <c r="A40" s="23"/>
      <c r="C40" s="13"/>
      <c r="E40" s="1"/>
      <c r="F40" s="21"/>
      <c r="G40" s="21"/>
      <c r="I40" s="4"/>
      <c r="J40" s="4"/>
      <c r="K40" s="4"/>
      <c r="R40" s="4"/>
      <c r="S40" s="4"/>
      <c r="T40" s="17"/>
      <c r="Y40" s="21"/>
      <c r="Z40" s="32"/>
      <c r="AA40" s="4"/>
      <c r="AB40" s="4"/>
      <c r="AC40" s="21"/>
      <c r="AD40" s="13"/>
      <c r="AF40" s="1"/>
      <c r="AH40" s="4"/>
      <c r="AJ40" s="4"/>
      <c r="AK40" s="4"/>
      <c r="AL40" s="17"/>
      <c r="AM40" s="13"/>
      <c r="AQ40" s="21"/>
      <c r="AR40" s="17"/>
      <c r="AS40" s="4"/>
      <c r="AT40" s="4"/>
      <c r="AU40" s="4"/>
      <c r="AV40" s="13"/>
      <c r="AZ40" s="4"/>
      <c r="BA40" s="4"/>
      <c r="BB40" s="4"/>
      <c r="BC40" s="4"/>
      <c r="BD40" s="4"/>
      <c r="BE40" s="4"/>
      <c r="BJ40" s="21"/>
      <c r="BK40" s="4"/>
      <c r="BL40" s="4"/>
    </row>
    <row r="41" spans="1:64" ht="12.75">
      <c r="A41" s="23"/>
      <c r="C41" s="13"/>
      <c r="E41" s="1"/>
      <c r="F41" s="21"/>
      <c r="G41" s="21"/>
      <c r="I41" s="4"/>
      <c r="J41" s="4"/>
      <c r="K41" s="4"/>
      <c r="R41" s="4"/>
      <c r="S41" s="4"/>
      <c r="T41" s="17"/>
      <c r="Y41" s="21"/>
      <c r="Z41" s="32"/>
      <c r="AA41" s="4"/>
      <c r="AB41" s="4"/>
      <c r="AC41" s="21"/>
      <c r="AD41" s="13"/>
      <c r="AF41" s="1"/>
      <c r="AH41" s="4"/>
      <c r="AJ41" s="4"/>
      <c r="AK41" s="4"/>
      <c r="AL41" s="17"/>
      <c r="AM41" s="13"/>
      <c r="AQ41" s="21"/>
      <c r="AR41" s="17"/>
      <c r="AS41" s="4"/>
      <c r="AT41" s="4"/>
      <c r="AU41" s="4"/>
      <c r="AV41" s="13"/>
      <c r="AZ41" s="4"/>
      <c r="BA41" s="4"/>
      <c r="BB41" s="4"/>
      <c r="BC41" s="4"/>
      <c r="BD41" s="4"/>
      <c r="BE41" s="4"/>
      <c r="BJ41" s="21"/>
      <c r="BK41" s="4"/>
      <c r="BL41" s="4"/>
    </row>
    <row r="42" spans="1:64" ht="12.75">
      <c r="A42" s="23"/>
      <c r="C42" s="13"/>
      <c r="E42" s="1"/>
      <c r="F42" s="21"/>
      <c r="G42" s="21"/>
      <c r="I42" s="4"/>
      <c r="J42" s="4"/>
      <c r="K42" s="4"/>
      <c r="R42" s="4"/>
      <c r="S42" s="4"/>
      <c r="T42" s="17"/>
      <c r="Y42" s="21"/>
      <c r="Z42" s="32"/>
      <c r="AA42" s="4"/>
      <c r="AB42" s="4"/>
      <c r="AC42" s="21"/>
      <c r="AD42" s="13"/>
      <c r="AF42" s="1"/>
      <c r="AH42" s="4"/>
      <c r="AJ42" s="4"/>
      <c r="AK42" s="4"/>
      <c r="AL42" s="17"/>
      <c r="AM42" s="13"/>
      <c r="AQ42" s="21"/>
      <c r="AR42" s="17"/>
      <c r="AS42" s="4"/>
      <c r="AT42" s="4"/>
      <c r="AU42" s="4"/>
      <c r="AV42" s="13"/>
      <c r="AZ42" s="4"/>
      <c r="BA42" s="4"/>
      <c r="BB42" s="4"/>
      <c r="BC42" s="4"/>
      <c r="BD42" s="4"/>
      <c r="BE42" s="4"/>
      <c r="BJ42" s="21"/>
      <c r="BK42" s="4"/>
      <c r="BL42" s="4"/>
    </row>
    <row r="43" spans="1:64" ht="12.75">
      <c r="A43" s="23"/>
      <c r="C43" s="13"/>
      <c r="E43" s="1"/>
      <c r="F43" s="21"/>
      <c r="G43" s="21"/>
      <c r="I43" s="4"/>
      <c r="J43" s="4"/>
      <c r="K43" s="4"/>
      <c r="R43" s="4"/>
      <c r="S43" s="4"/>
      <c r="T43" s="17"/>
      <c r="Y43" s="21"/>
      <c r="Z43" s="32"/>
      <c r="AA43" s="4"/>
      <c r="AB43" s="4"/>
      <c r="AC43" s="21"/>
      <c r="AD43" s="13"/>
      <c r="AF43" s="1"/>
      <c r="AH43" s="4"/>
      <c r="AJ43" s="4"/>
      <c r="AK43" s="4"/>
      <c r="AL43" s="17"/>
      <c r="AM43" s="13"/>
      <c r="AQ43" s="21"/>
      <c r="AR43" s="17"/>
      <c r="AS43" s="4"/>
      <c r="AT43" s="4"/>
      <c r="AU43" s="4"/>
      <c r="AV43" s="13"/>
      <c r="AZ43" s="4"/>
      <c r="BA43" s="4"/>
      <c r="BB43" s="4"/>
      <c r="BC43" s="4"/>
      <c r="BD43" s="4"/>
      <c r="BE43" s="4"/>
      <c r="BJ43" s="21"/>
      <c r="BK43" s="4"/>
      <c r="BL43" s="4"/>
    </row>
    <row r="44" spans="1:64" ht="12.75">
      <c r="A44" s="23"/>
      <c r="C44" s="13"/>
      <c r="E44" s="1"/>
      <c r="F44" s="21"/>
      <c r="G44" s="21"/>
      <c r="I44" s="4"/>
      <c r="J44" s="4"/>
      <c r="K44" s="4"/>
      <c r="R44" s="4"/>
      <c r="S44" s="4"/>
      <c r="T44" s="17"/>
      <c r="Y44" s="21"/>
      <c r="Z44" s="32"/>
      <c r="AA44" s="4"/>
      <c r="AB44" s="4"/>
      <c r="AC44" s="21"/>
      <c r="AD44" s="13"/>
      <c r="AF44" s="1"/>
      <c r="AH44" s="4"/>
      <c r="AJ44" s="4"/>
      <c r="AK44" s="4"/>
      <c r="AL44" s="17"/>
      <c r="AM44" s="13"/>
      <c r="AQ44" s="21"/>
      <c r="AR44" s="17"/>
      <c r="AS44" s="4"/>
      <c r="AT44" s="4"/>
      <c r="AU44" s="4"/>
      <c r="AV44" s="13"/>
      <c r="AZ44" s="4"/>
      <c r="BA44" s="4"/>
      <c r="BB44" s="4"/>
      <c r="BC44" s="4"/>
      <c r="BD44" s="4"/>
      <c r="BE44" s="4"/>
      <c r="BJ44" s="21"/>
      <c r="BK44" s="4"/>
      <c r="BL44" s="4"/>
    </row>
    <row r="45" spans="1:64" ht="12.75">
      <c r="A45" s="23"/>
      <c r="C45" s="13"/>
      <c r="E45" s="1"/>
      <c r="F45" s="21"/>
      <c r="G45" s="21"/>
      <c r="I45" s="4"/>
      <c r="J45" s="4"/>
      <c r="K45" s="4"/>
      <c r="R45" s="4"/>
      <c r="S45" s="4"/>
      <c r="T45" s="17"/>
      <c r="Y45" s="21"/>
      <c r="Z45" s="32"/>
      <c r="AA45" s="4"/>
      <c r="AB45" s="4"/>
      <c r="AC45" s="21"/>
      <c r="AD45" s="13"/>
      <c r="AF45" s="1"/>
      <c r="AH45" s="4"/>
      <c r="AJ45" s="4"/>
      <c r="AK45" s="4"/>
      <c r="AL45" s="17"/>
      <c r="AM45" s="13"/>
      <c r="AQ45" s="21"/>
      <c r="AR45" s="17"/>
      <c r="AS45" s="4"/>
      <c r="AT45" s="4"/>
      <c r="AU45" s="4"/>
      <c r="AV45" s="13"/>
      <c r="AZ45" s="4"/>
      <c r="BA45" s="4"/>
      <c r="BB45" s="4"/>
      <c r="BC45" s="4"/>
      <c r="BD45" s="4"/>
      <c r="BE45" s="4"/>
      <c r="BJ45" s="21"/>
      <c r="BK45" s="4"/>
      <c r="BL45" s="4"/>
    </row>
    <row r="46" spans="1:64" ht="12.75">
      <c r="A46" s="23"/>
      <c r="C46" s="13"/>
      <c r="E46" s="1"/>
      <c r="F46" s="21"/>
      <c r="G46" s="21"/>
      <c r="I46" s="4"/>
      <c r="J46" s="4"/>
      <c r="K46" s="4"/>
      <c r="R46" s="4"/>
      <c r="S46" s="4"/>
      <c r="T46" s="17"/>
      <c r="Y46" s="21"/>
      <c r="Z46" s="32"/>
      <c r="AA46" s="4"/>
      <c r="AB46" s="4"/>
      <c r="AC46" s="21"/>
      <c r="AD46" s="13"/>
      <c r="AF46" s="1"/>
      <c r="AH46" s="4"/>
      <c r="AJ46" s="4"/>
      <c r="AK46" s="4"/>
      <c r="AL46" s="17"/>
      <c r="AM46" s="13"/>
      <c r="AQ46" s="21"/>
      <c r="AR46" s="17"/>
      <c r="AS46" s="4"/>
      <c r="AT46" s="4"/>
      <c r="AU46" s="4"/>
      <c r="AV46" s="13"/>
      <c r="AZ46" s="4"/>
      <c r="BA46" s="4"/>
      <c r="BB46" s="4"/>
      <c r="BC46" s="4"/>
      <c r="BD46" s="4"/>
      <c r="BE46" s="4"/>
      <c r="BJ46" s="21"/>
      <c r="BK46" s="4"/>
      <c r="BL46" s="4"/>
    </row>
    <row r="47" spans="1:64" ht="12.75">
      <c r="A47" s="23"/>
      <c r="C47" s="13"/>
      <c r="E47" s="1"/>
      <c r="F47" s="21"/>
      <c r="G47" s="21"/>
      <c r="I47" s="4"/>
      <c r="J47" s="4"/>
      <c r="K47" s="4"/>
      <c r="R47" s="4"/>
      <c r="S47" s="4"/>
      <c r="T47" s="17"/>
      <c r="Y47" s="21"/>
      <c r="Z47" s="32"/>
      <c r="AA47" s="4"/>
      <c r="AB47" s="4"/>
      <c r="AC47" s="21"/>
      <c r="AD47" s="13"/>
      <c r="AF47" s="1"/>
      <c r="AH47" s="4"/>
      <c r="AJ47" s="4"/>
      <c r="AK47" s="4"/>
      <c r="AL47" s="17"/>
      <c r="AM47" s="13"/>
      <c r="AQ47" s="21"/>
      <c r="AR47" s="17"/>
      <c r="AS47" s="4"/>
      <c r="AT47" s="4"/>
      <c r="AU47" s="4"/>
      <c r="AV47" s="13"/>
      <c r="AZ47" s="4"/>
      <c r="BA47" s="4"/>
      <c r="BB47" s="4"/>
      <c r="BC47" s="4"/>
      <c r="BD47" s="4"/>
      <c r="BE47" s="4"/>
      <c r="BJ47" s="21"/>
      <c r="BK47" s="4"/>
      <c r="BL47" s="4"/>
    </row>
    <row r="48" spans="1:64" ht="12.75">
      <c r="A48" s="23"/>
      <c r="C48" s="13"/>
      <c r="E48" s="1"/>
      <c r="F48" s="21"/>
      <c r="G48" s="21"/>
      <c r="I48" s="4"/>
      <c r="J48" s="4"/>
      <c r="K48" s="4"/>
      <c r="R48" s="4"/>
      <c r="S48" s="4"/>
      <c r="T48" s="17"/>
      <c r="Y48" s="21"/>
      <c r="Z48" s="32"/>
      <c r="AA48" s="4"/>
      <c r="AB48" s="4"/>
      <c r="AC48" s="21"/>
      <c r="AD48" s="13"/>
      <c r="AF48" s="1"/>
      <c r="AH48" s="4"/>
      <c r="AJ48" s="4"/>
      <c r="AK48" s="4"/>
      <c r="AL48" s="17"/>
      <c r="AM48" s="13"/>
      <c r="AQ48" s="21"/>
      <c r="AR48" s="17"/>
      <c r="AS48" s="4"/>
      <c r="AT48" s="4"/>
      <c r="AU48" s="4"/>
      <c r="AV48" s="13"/>
      <c r="AZ48" s="4"/>
      <c r="BA48" s="4"/>
      <c r="BB48" s="4"/>
      <c r="BC48" s="4"/>
      <c r="BD48" s="4"/>
      <c r="BE48" s="4"/>
      <c r="BJ48" s="21"/>
      <c r="BK48" s="4"/>
      <c r="BL48" s="4"/>
    </row>
    <row r="49" spans="1:64" ht="12.75">
      <c r="A49" s="23"/>
      <c r="C49" s="13"/>
      <c r="E49" s="1"/>
      <c r="F49" s="21"/>
      <c r="G49" s="21"/>
      <c r="I49" s="4"/>
      <c r="J49" s="4"/>
      <c r="K49" s="4"/>
      <c r="R49" s="4"/>
      <c r="S49" s="4"/>
      <c r="T49" s="17"/>
      <c r="Y49" s="21"/>
      <c r="Z49" s="32"/>
      <c r="AA49" s="4"/>
      <c r="AB49" s="4"/>
      <c r="AC49" s="21"/>
      <c r="AD49" s="13"/>
      <c r="AF49" s="1"/>
      <c r="AH49" s="4"/>
      <c r="AJ49" s="4"/>
      <c r="AK49" s="4"/>
      <c r="AL49" s="17"/>
      <c r="AM49" s="13"/>
      <c r="AQ49" s="21"/>
      <c r="AR49" s="17"/>
      <c r="AS49" s="4"/>
      <c r="AT49" s="4"/>
      <c r="AU49" s="4"/>
      <c r="AV49" s="13"/>
      <c r="AZ49" s="4"/>
      <c r="BA49" s="4"/>
      <c r="BB49" s="4"/>
      <c r="BC49" s="4"/>
      <c r="BD49" s="4"/>
      <c r="BE49" s="4"/>
      <c r="BJ49" s="21"/>
      <c r="BK49" s="4"/>
      <c r="BL49" s="4"/>
    </row>
    <row r="50" spans="1:64" ht="12.75">
      <c r="A50" s="23"/>
      <c r="C50" s="13"/>
      <c r="E50" s="1"/>
      <c r="F50" s="21"/>
      <c r="G50" s="21"/>
      <c r="I50" s="4"/>
      <c r="J50" s="4"/>
      <c r="K50" s="4"/>
      <c r="R50" s="4"/>
      <c r="S50" s="4"/>
      <c r="T50" s="17"/>
      <c r="Y50" s="21"/>
      <c r="Z50" s="32"/>
      <c r="AA50" s="4"/>
      <c r="AB50" s="4"/>
      <c r="AC50" s="21"/>
      <c r="AD50" s="13"/>
      <c r="AF50" s="1"/>
      <c r="AH50" s="4"/>
      <c r="AJ50" s="4"/>
      <c r="AK50" s="4"/>
      <c r="AL50" s="17"/>
      <c r="AM50" s="13"/>
      <c r="AQ50" s="21"/>
      <c r="AR50" s="17"/>
      <c r="AS50" s="4"/>
      <c r="AT50" s="4"/>
      <c r="AU50" s="4"/>
      <c r="AV50" s="13"/>
      <c r="AZ50" s="4"/>
      <c r="BA50" s="4"/>
      <c r="BB50" s="4"/>
      <c r="BC50" s="4"/>
      <c r="BD50" s="4"/>
      <c r="BE50" s="4"/>
      <c r="BJ50" s="21"/>
      <c r="BK50" s="4"/>
      <c r="BL50" s="4"/>
    </row>
    <row r="51" spans="1:64" ht="12.75">
      <c r="A51" s="23"/>
      <c r="C51" s="13"/>
      <c r="E51" s="1"/>
      <c r="F51" s="21"/>
      <c r="G51" s="21"/>
      <c r="I51" s="4"/>
      <c r="J51" s="4"/>
      <c r="K51" s="4"/>
      <c r="R51" s="4"/>
      <c r="S51" s="4"/>
      <c r="T51" s="17"/>
      <c r="Y51" s="21"/>
      <c r="Z51" s="32"/>
      <c r="AA51" s="4"/>
      <c r="AB51" s="4"/>
      <c r="AC51" s="21"/>
      <c r="AD51" s="13"/>
      <c r="AF51" s="1"/>
      <c r="AH51" s="4"/>
      <c r="AJ51" s="4"/>
      <c r="AK51" s="4"/>
      <c r="AL51" s="17"/>
      <c r="AM51" s="13"/>
      <c r="AQ51" s="21"/>
      <c r="AR51" s="17"/>
      <c r="AS51" s="4"/>
      <c r="AT51" s="4"/>
      <c r="AU51" s="4"/>
      <c r="AV51" s="13"/>
      <c r="AZ51" s="4"/>
      <c r="BA51" s="4"/>
      <c r="BB51" s="4"/>
      <c r="BC51" s="4"/>
      <c r="BD51" s="4"/>
      <c r="BE51" s="4"/>
      <c r="BJ51" s="21"/>
      <c r="BK51" s="4"/>
      <c r="BL51" s="4"/>
    </row>
    <row r="52" spans="1:64" ht="12.75">
      <c r="A52" s="23"/>
      <c r="C52" s="13"/>
      <c r="E52" s="1"/>
      <c r="F52" s="21"/>
      <c r="G52" s="21"/>
      <c r="I52" s="4"/>
      <c r="J52" s="4"/>
      <c r="K52" s="4"/>
      <c r="R52" s="4"/>
      <c r="S52" s="4"/>
      <c r="T52" s="17"/>
      <c r="Y52" s="21"/>
      <c r="Z52" s="32"/>
      <c r="AA52" s="4"/>
      <c r="AB52" s="4"/>
      <c r="AC52" s="21"/>
      <c r="AD52" s="13"/>
      <c r="AF52" s="1"/>
      <c r="AH52" s="4"/>
      <c r="AJ52" s="4"/>
      <c r="AK52" s="4"/>
      <c r="AL52" s="17"/>
      <c r="AM52" s="13"/>
      <c r="AQ52" s="21"/>
      <c r="AR52" s="17"/>
      <c r="AS52" s="4"/>
      <c r="AT52" s="4"/>
      <c r="AU52" s="4"/>
      <c r="AV52" s="13"/>
      <c r="AZ52" s="4"/>
      <c r="BA52" s="4"/>
      <c r="BB52" s="4"/>
      <c r="BC52" s="4"/>
      <c r="BD52" s="4"/>
      <c r="BE52" s="4"/>
      <c r="BJ52" s="21"/>
      <c r="BK52" s="4"/>
      <c r="BL52" s="4"/>
    </row>
    <row r="53" spans="1:64" ht="12.75">
      <c r="A53" s="23"/>
      <c r="C53" s="13"/>
      <c r="E53" s="1"/>
      <c r="F53" s="21"/>
      <c r="G53" s="21"/>
      <c r="I53" s="4"/>
      <c r="J53" s="4"/>
      <c r="K53" s="4"/>
      <c r="R53" s="4"/>
      <c r="S53" s="4"/>
      <c r="T53" s="17"/>
      <c r="Y53" s="21"/>
      <c r="Z53" s="32"/>
      <c r="AA53" s="4"/>
      <c r="AB53" s="4"/>
      <c r="AC53" s="21"/>
      <c r="AD53" s="13"/>
      <c r="AF53" s="1"/>
      <c r="AH53" s="4"/>
      <c r="AJ53" s="4"/>
      <c r="AK53" s="4"/>
      <c r="AL53" s="17"/>
      <c r="AM53" s="13"/>
      <c r="AQ53" s="21"/>
      <c r="AR53" s="17"/>
      <c r="AS53" s="4"/>
      <c r="AT53" s="4"/>
      <c r="AU53" s="4"/>
      <c r="AV53" s="13"/>
      <c r="AZ53" s="4"/>
      <c r="BA53" s="4"/>
      <c r="BB53" s="4"/>
      <c r="BC53" s="4"/>
      <c r="BD53" s="4"/>
      <c r="BE53" s="4"/>
      <c r="BJ53" s="21"/>
      <c r="BK53" s="4"/>
      <c r="BL53" s="4"/>
    </row>
    <row r="54" spans="1:64" ht="12.75">
      <c r="A54" s="23"/>
      <c r="C54" s="13"/>
      <c r="E54" s="1"/>
      <c r="F54" s="21"/>
      <c r="G54" s="21"/>
      <c r="I54" s="4"/>
      <c r="J54" s="4"/>
      <c r="K54" s="4"/>
      <c r="R54" s="4"/>
      <c r="S54" s="4"/>
      <c r="T54" s="17"/>
      <c r="Y54" s="21"/>
      <c r="Z54" s="32"/>
      <c r="AA54" s="4"/>
      <c r="AB54" s="4"/>
      <c r="AC54" s="21"/>
      <c r="AD54" s="13"/>
      <c r="AF54" s="1"/>
      <c r="AH54" s="4"/>
      <c r="AJ54" s="4"/>
      <c r="AK54" s="4"/>
      <c r="AL54" s="17"/>
      <c r="AM54" s="13"/>
      <c r="AQ54" s="21"/>
      <c r="AR54" s="17"/>
      <c r="AS54" s="4"/>
      <c r="AT54" s="4"/>
      <c r="AU54" s="4"/>
      <c r="AV54" s="13"/>
      <c r="AZ54" s="4"/>
      <c r="BA54" s="4"/>
      <c r="BB54" s="4"/>
      <c r="BC54" s="4"/>
      <c r="BD54" s="4"/>
      <c r="BE54" s="4"/>
      <c r="BJ54" s="21"/>
      <c r="BK54" s="4"/>
      <c r="BL54" s="4"/>
    </row>
    <row r="55" spans="1:64" ht="12.75">
      <c r="A55" s="23"/>
      <c r="C55" s="13"/>
      <c r="E55" s="1"/>
      <c r="F55" s="21"/>
      <c r="G55" s="21"/>
      <c r="I55" s="4"/>
      <c r="J55" s="4"/>
      <c r="K55" s="4"/>
      <c r="R55" s="4"/>
      <c r="S55" s="4"/>
      <c r="T55" s="17"/>
      <c r="Y55" s="21"/>
      <c r="Z55" s="32"/>
      <c r="AA55" s="4"/>
      <c r="AB55" s="4"/>
      <c r="AC55" s="21"/>
      <c r="AD55" s="13"/>
      <c r="AF55" s="1"/>
      <c r="AH55" s="4"/>
      <c r="AJ55" s="4"/>
      <c r="AK55" s="4"/>
      <c r="AL55" s="17"/>
      <c r="AM55" s="13"/>
      <c r="AQ55" s="21"/>
      <c r="AR55" s="17"/>
      <c r="AS55" s="4"/>
      <c r="AT55" s="4"/>
      <c r="AU55" s="4"/>
      <c r="AV55" s="13"/>
      <c r="AZ55" s="4"/>
      <c r="BA55" s="4"/>
      <c r="BB55" s="4"/>
      <c r="BC55" s="4"/>
      <c r="BD55" s="4"/>
      <c r="BE55" s="4"/>
      <c r="BJ55" s="21"/>
      <c r="BK55" s="4"/>
      <c r="BL55" s="4"/>
    </row>
    <row r="56" spans="1:64" ht="12.75">
      <c r="A56" s="23"/>
      <c r="C56" s="13"/>
      <c r="E56" s="1"/>
      <c r="F56" s="21"/>
      <c r="G56" s="21"/>
      <c r="I56" s="4"/>
      <c r="J56" s="4"/>
      <c r="K56" s="4"/>
      <c r="R56" s="4"/>
      <c r="S56" s="4"/>
      <c r="T56" s="17"/>
      <c r="Y56" s="21"/>
      <c r="Z56" s="32"/>
      <c r="AA56" s="4"/>
      <c r="AB56" s="4"/>
      <c r="AC56" s="21"/>
      <c r="AD56" s="13"/>
      <c r="AF56" s="1"/>
      <c r="AH56" s="4"/>
      <c r="AJ56" s="4"/>
      <c r="AK56" s="4"/>
      <c r="AL56" s="17"/>
      <c r="AM56" s="13"/>
      <c r="AQ56" s="21"/>
      <c r="AR56" s="17"/>
      <c r="AS56" s="4"/>
      <c r="AT56" s="4"/>
      <c r="AU56" s="4"/>
      <c r="AV56" s="13"/>
      <c r="AZ56" s="4"/>
      <c r="BA56" s="4"/>
      <c r="BB56" s="4"/>
      <c r="BC56" s="4"/>
      <c r="BD56" s="4"/>
      <c r="BE56" s="4"/>
      <c r="BJ56" s="21"/>
      <c r="BK56" s="4"/>
      <c r="BL56" s="4"/>
    </row>
    <row r="57" spans="1:64" ht="12.75">
      <c r="A57" s="23"/>
      <c r="C57" s="13"/>
      <c r="E57" s="1"/>
      <c r="F57" s="21"/>
      <c r="G57" s="21"/>
      <c r="I57" s="4"/>
      <c r="J57" s="4"/>
      <c r="K57" s="4"/>
      <c r="R57" s="4"/>
      <c r="S57" s="4"/>
      <c r="T57" s="17"/>
      <c r="Y57" s="21"/>
      <c r="Z57" s="32"/>
      <c r="AA57" s="4"/>
      <c r="AB57" s="4"/>
      <c r="AC57" s="21"/>
      <c r="AD57" s="13"/>
      <c r="AF57" s="1"/>
      <c r="AH57" s="4"/>
      <c r="AJ57" s="4"/>
      <c r="AK57" s="4"/>
      <c r="AL57" s="17"/>
      <c r="AM57" s="13"/>
      <c r="AQ57" s="21"/>
      <c r="AR57" s="17"/>
      <c r="AS57" s="4"/>
      <c r="AT57" s="4"/>
      <c r="AU57" s="4"/>
      <c r="AV57" s="13"/>
      <c r="AZ57" s="4"/>
      <c r="BA57" s="4"/>
      <c r="BB57" s="4"/>
      <c r="BC57" s="4"/>
      <c r="BD57" s="4"/>
      <c r="BE57" s="4"/>
      <c r="BJ57" s="21"/>
      <c r="BK57" s="4"/>
      <c r="BL57" s="4"/>
    </row>
    <row r="58" spans="1:64" ht="12.75">
      <c r="A58" s="23"/>
      <c r="C58" s="13"/>
      <c r="E58" s="1"/>
      <c r="F58" s="21"/>
      <c r="G58" s="21"/>
      <c r="I58" s="4"/>
      <c r="J58" s="4"/>
      <c r="K58" s="4"/>
      <c r="R58" s="4"/>
      <c r="S58" s="4"/>
      <c r="T58" s="17"/>
      <c r="Y58" s="21"/>
      <c r="Z58" s="32"/>
      <c r="AA58" s="4"/>
      <c r="AB58" s="4"/>
      <c r="AC58" s="21"/>
      <c r="AD58" s="13"/>
      <c r="AF58" s="1"/>
      <c r="AH58" s="4"/>
      <c r="AJ58" s="4"/>
      <c r="AK58" s="4"/>
      <c r="AL58" s="17"/>
      <c r="AM58" s="13"/>
      <c r="AQ58" s="21"/>
      <c r="AR58" s="17"/>
      <c r="AS58" s="4"/>
      <c r="AT58" s="4"/>
      <c r="AU58" s="4"/>
      <c r="AV58" s="13"/>
      <c r="AZ58" s="4"/>
      <c r="BA58" s="4"/>
      <c r="BB58" s="4"/>
      <c r="BC58" s="4"/>
      <c r="BD58" s="4"/>
      <c r="BE58" s="4"/>
      <c r="BJ58" s="21"/>
      <c r="BK58" s="4"/>
      <c r="BL58" s="4"/>
    </row>
    <row r="59" spans="1:64" ht="12.75">
      <c r="A59" s="23"/>
      <c r="C59" s="13"/>
      <c r="E59" s="1"/>
      <c r="F59" s="21"/>
      <c r="G59" s="21"/>
      <c r="I59" s="4"/>
      <c r="J59" s="4"/>
      <c r="K59" s="4"/>
      <c r="R59" s="4"/>
      <c r="S59" s="4"/>
      <c r="T59" s="17"/>
      <c r="Y59" s="21"/>
      <c r="Z59" s="32"/>
      <c r="AA59" s="4"/>
      <c r="AB59" s="4"/>
      <c r="AC59" s="21"/>
      <c r="AD59" s="13"/>
      <c r="AF59" s="1"/>
      <c r="AH59" s="4"/>
      <c r="AJ59" s="4"/>
      <c r="AK59" s="4"/>
      <c r="AL59" s="17"/>
      <c r="AM59" s="13"/>
      <c r="AQ59" s="21"/>
      <c r="AR59" s="17"/>
      <c r="AS59" s="4"/>
      <c r="AT59" s="4"/>
      <c r="AU59" s="4"/>
      <c r="AV59" s="13"/>
      <c r="AZ59" s="4"/>
      <c r="BA59" s="4"/>
      <c r="BB59" s="4"/>
      <c r="BC59" s="4"/>
      <c r="BD59" s="4"/>
      <c r="BE59" s="4"/>
      <c r="BJ59" s="21"/>
      <c r="BK59" s="4"/>
      <c r="BL59" s="4"/>
    </row>
    <row r="60" spans="1:64" ht="12.75">
      <c r="A60" s="23"/>
      <c r="C60" s="13"/>
      <c r="E60" s="1"/>
      <c r="F60" s="21"/>
      <c r="G60" s="21"/>
      <c r="I60" s="4"/>
      <c r="J60" s="4"/>
      <c r="K60" s="4"/>
      <c r="R60" s="4"/>
      <c r="S60" s="4"/>
      <c r="T60" s="17"/>
      <c r="Y60" s="21"/>
      <c r="Z60" s="32"/>
      <c r="AA60" s="4"/>
      <c r="AB60" s="4"/>
      <c r="AC60" s="21"/>
      <c r="AD60" s="13"/>
      <c r="AF60" s="1"/>
      <c r="AH60" s="4"/>
      <c r="AJ60" s="4"/>
      <c r="AK60" s="4"/>
      <c r="AL60" s="17"/>
      <c r="AM60" s="13"/>
      <c r="AQ60" s="21"/>
      <c r="AR60" s="17"/>
      <c r="AS60" s="4"/>
      <c r="AT60" s="4"/>
      <c r="AU60" s="4"/>
      <c r="AV60" s="13"/>
      <c r="AZ60" s="4"/>
      <c r="BA60" s="4"/>
      <c r="BB60" s="4"/>
      <c r="BC60" s="4"/>
      <c r="BD60" s="4"/>
      <c r="BE60" s="4"/>
      <c r="BJ60" s="21"/>
      <c r="BK60" s="4"/>
      <c r="BL60" s="4"/>
    </row>
    <row r="61" spans="1:64" ht="12.75">
      <c r="A61" s="23"/>
      <c r="C61" s="13"/>
      <c r="E61" s="1"/>
      <c r="F61" s="21"/>
      <c r="G61" s="21"/>
      <c r="I61" s="4"/>
      <c r="J61" s="4"/>
      <c r="K61" s="4"/>
      <c r="R61" s="4"/>
      <c r="S61" s="4"/>
      <c r="T61" s="17"/>
      <c r="Y61" s="21"/>
      <c r="Z61" s="32"/>
      <c r="AA61" s="4"/>
      <c r="AB61" s="4"/>
      <c r="AC61" s="21"/>
      <c r="AD61" s="13"/>
      <c r="AF61" s="1"/>
      <c r="AH61" s="4"/>
      <c r="AJ61" s="4"/>
      <c r="AK61" s="4"/>
      <c r="AL61" s="17"/>
      <c r="AM61" s="13"/>
      <c r="AQ61" s="21"/>
      <c r="AR61" s="17"/>
      <c r="AS61" s="4"/>
      <c r="AT61" s="4"/>
      <c r="AU61" s="4"/>
      <c r="AV61" s="13"/>
      <c r="AZ61" s="4"/>
      <c r="BA61" s="4"/>
      <c r="BB61" s="4"/>
      <c r="BC61" s="4"/>
      <c r="BD61" s="4"/>
      <c r="BE61" s="4"/>
      <c r="BJ61" s="21"/>
      <c r="BK61" s="4"/>
      <c r="BL61" s="4"/>
    </row>
    <row r="62" spans="1:64" ht="12.75">
      <c r="A62" s="23"/>
      <c r="C62" s="13"/>
      <c r="E62" s="1"/>
      <c r="F62" s="21"/>
      <c r="G62" s="21"/>
      <c r="I62" s="4"/>
      <c r="J62" s="4"/>
      <c r="K62" s="4"/>
      <c r="R62" s="4"/>
      <c r="S62" s="4"/>
      <c r="T62" s="17"/>
      <c r="Y62" s="21"/>
      <c r="Z62" s="32"/>
      <c r="AA62" s="4"/>
      <c r="AB62" s="4"/>
      <c r="AC62" s="21"/>
      <c r="AD62" s="13"/>
      <c r="AF62" s="1"/>
      <c r="AH62" s="4"/>
      <c r="AJ62" s="4"/>
      <c r="AK62" s="4"/>
      <c r="AL62" s="17"/>
      <c r="AM62" s="13"/>
      <c r="AQ62" s="21"/>
      <c r="AR62" s="17"/>
      <c r="AS62" s="4"/>
      <c r="AT62" s="4"/>
      <c r="AU62" s="4"/>
      <c r="AV62" s="13"/>
      <c r="AZ62" s="4"/>
      <c r="BA62" s="4"/>
      <c r="BB62" s="4"/>
      <c r="BC62" s="4"/>
      <c r="BD62" s="4"/>
      <c r="BE62" s="4"/>
      <c r="BJ62" s="21"/>
      <c r="BK62" s="4"/>
      <c r="BL62" s="4"/>
    </row>
    <row r="63" spans="1:64" ht="12.75">
      <c r="A63" s="23"/>
      <c r="C63" s="13"/>
      <c r="E63" s="1"/>
      <c r="F63" s="21"/>
      <c r="G63" s="21"/>
      <c r="I63" s="4"/>
      <c r="J63" s="4"/>
      <c r="K63" s="4"/>
      <c r="R63" s="4"/>
      <c r="S63" s="4"/>
      <c r="T63" s="17"/>
      <c r="Y63" s="21"/>
      <c r="Z63" s="32"/>
      <c r="AA63" s="4"/>
      <c r="AB63" s="4"/>
      <c r="AC63" s="21"/>
      <c r="AD63" s="13"/>
      <c r="AF63" s="1"/>
      <c r="AH63" s="4"/>
      <c r="AJ63" s="4"/>
      <c r="AK63" s="4"/>
      <c r="AL63" s="17"/>
      <c r="AM63" s="13"/>
      <c r="AQ63" s="21"/>
      <c r="AR63" s="17"/>
      <c r="AS63" s="4"/>
      <c r="AT63" s="4"/>
      <c r="AU63" s="4"/>
      <c r="AV63" s="13"/>
      <c r="AZ63" s="4"/>
      <c r="BA63" s="4"/>
      <c r="BB63" s="4"/>
      <c r="BC63" s="4"/>
      <c r="BD63" s="4"/>
      <c r="BE63" s="4"/>
      <c r="BJ63" s="21"/>
      <c r="BK63" s="4"/>
      <c r="BL63" s="4"/>
    </row>
    <row r="64" spans="1:64" ht="12.75">
      <c r="A64" s="23"/>
      <c r="C64" s="13"/>
      <c r="E64" s="1"/>
      <c r="F64" s="21"/>
      <c r="G64" s="21"/>
      <c r="I64" s="4"/>
      <c r="J64" s="4"/>
      <c r="K64" s="4"/>
      <c r="R64" s="4"/>
      <c r="S64" s="4"/>
      <c r="T64" s="17"/>
      <c r="Y64" s="21"/>
      <c r="Z64" s="32"/>
      <c r="AA64" s="4"/>
      <c r="AB64" s="4"/>
      <c r="AC64" s="21"/>
      <c r="AD64" s="13"/>
      <c r="AF64" s="1"/>
      <c r="AH64" s="4"/>
      <c r="AJ64" s="4"/>
      <c r="AK64" s="4"/>
      <c r="AL64" s="17"/>
      <c r="AM64" s="13"/>
      <c r="AQ64" s="21"/>
      <c r="AR64" s="17"/>
      <c r="AS64" s="4"/>
      <c r="AT64" s="4"/>
      <c r="AU64" s="4"/>
      <c r="AV64" s="13"/>
      <c r="AZ64" s="4"/>
      <c r="BA64" s="4"/>
      <c r="BB64" s="4"/>
      <c r="BC64" s="4"/>
      <c r="BD64" s="4"/>
      <c r="BE64" s="4"/>
      <c r="BJ64" s="21"/>
      <c r="BK64" s="4"/>
      <c r="BL64" s="4"/>
    </row>
    <row r="65" spans="1:36" ht="12.75">
      <c r="A65" s="23"/>
      <c r="C65" s="13"/>
      <c r="E65" s="1"/>
      <c r="F65" s="21"/>
      <c r="G65" s="21"/>
      <c r="I65" s="4"/>
      <c r="J65" s="4"/>
      <c r="R65" s="4"/>
      <c r="AC65" s="21"/>
      <c r="AD65" s="13"/>
      <c r="AF65" s="1"/>
      <c r="AH65" s="4"/>
      <c r="AJ65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U12"/>
  <sheetViews>
    <sheetView defaultGridColor="0" zoomScale="90" zoomScaleNormal="90" colorId="0" workbookViewId="0" topLeftCell="A1">
      <pane xSplit="2" ySplit="7" topLeftCell="C8" activePane="bottomRight" state="frozen"/>
      <selection pane="bottomRight" activeCell="C8" sqref="C8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1.421875" style="0" customWidth="1"/>
    <col min="4" max="4" width="8.8515625" style="0" customWidth="1"/>
    <col min="5" max="5" width="9.8515625" style="0" customWidth="1"/>
    <col min="6" max="6" width="8.7109375" style="0" customWidth="1"/>
    <col min="7" max="7" width="7.57421875" style="0" customWidth="1"/>
    <col min="8" max="8" width="9.00390625" style="0" customWidth="1"/>
    <col min="9" max="9" width="11.57421875" style="0" customWidth="1"/>
    <col min="10" max="10" width="11.7109375" style="0" customWidth="1"/>
    <col min="11" max="11" width="11.421875" style="0" customWidth="1"/>
    <col min="12" max="12" width="9.28125" style="0" customWidth="1"/>
    <col min="13" max="14" width="10.421875" style="0" customWidth="1"/>
    <col min="15" max="15" width="11.00390625" style="0" customWidth="1"/>
    <col min="16" max="16" width="14.140625" style="0" customWidth="1"/>
    <col min="17" max="18" width="13.00390625" style="0" customWidth="1"/>
    <col min="19" max="19" width="13.57421875" style="0" customWidth="1"/>
    <col min="20" max="21" width="11.00390625" style="0" customWidth="1"/>
  </cols>
  <sheetData>
    <row r="1" spans="1:21" ht="12.75">
      <c r="A1" s="40"/>
      <c r="B1" s="5" t="s">
        <v>149</v>
      </c>
      <c r="C1" s="5"/>
      <c r="D1" s="8"/>
      <c r="E1" s="22"/>
      <c r="F1" s="5"/>
      <c r="G1" s="5"/>
      <c r="H1" s="6"/>
      <c r="I1" s="7"/>
      <c r="J1" s="6"/>
      <c r="K1" s="5"/>
      <c r="L1" s="44"/>
      <c r="M1" s="7"/>
      <c r="N1" s="8"/>
      <c r="O1" s="12"/>
      <c r="P1" s="11"/>
      <c r="Q1" s="11"/>
      <c r="R1" s="4"/>
      <c r="S1" s="18"/>
      <c r="T1" s="42"/>
      <c r="U1" s="42"/>
    </row>
    <row r="2" spans="1:21" ht="12.75">
      <c r="A2" s="40"/>
      <c r="B2" s="5"/>
      <c r="C2" s="5"/>
      <c r="D2" s="8"/>
      <c r="E2" s="22"/>
      <c r="F2" s="5"/>
      <c r="G2" s="5"/>
      <c r="H2" s="6"/>
      <c r="I2" s="7"/>
      <c r="J2" s="6"/>
      <c r="K2" s="5"/>
      <c r="L2" s="44"/>
      <c r="M2" s="7"/>
      <c r="N2" s="8"/>
      <c r="O2" s="12"/>
      <c r="P2" s="11"/>
      <c r="Q2" s="11"/>
      <c r="R2" s="4"/>
      <c r="S2" s="18"/>
      <c r="T2" s="42"/>
      <c r="U2" s="42"/>
    </row>
    <row r="3" spans="1:21" ht="12.75">
      <c r="A3" s="40" t="s">
        <v>109</v>
      </c>
      <c r="B3" s="5" t="s">
        <v>200</v>
      </c>
      <c r="C3" s="5" t="s">
        <v>240</v>
      </c>
      <c r="D3" s="8" t="s">
        <v>229</v>
      </c>
      <c r="E3" s="22" t="s">
        <v>243</v>
      </c>
      <c r="F3" s="5" t="s">
        <v>233</v>
      </c>
      <c r="G3" s="5" t="s">
        <v>233</v>
      </c>
      <c r="H3" s="6" t="s">
        <v>210</v>
      </c>
      <c r="I3" s="7" t="s">
        <v>210</v>
      </c>
      <c r="J3" s="6" t="s">
        <v>156</v>
      </c>
      <c r="K3" s="5" t="s">
        <v>240</v>
      </c>
      <c r="L3" s="44" t="s">
        <v>240</v>
      </c>
      <c r="M3" s="7" t="s">
        <v>155</v>
      </c>
      <c r="N3" s="8" t="s">
        <v>155</v>
      </c>
      <c r="O3" s="12" t="s">
        <v>227</v>
      </c>
      <c r="P3" s="12" t="s">
        <v>210</v>
      </c>
      <c r="Q3" s="12" t="s">
        <v>212</v>
      </c>
      <c r="R3" s="8" t="s">
        <v>237</v>
      </c>
      <c r="S3" s="19" t="s">
        <v>242</v>
      </c>
      <c r="T3" s="12" t="s">
        <v>227</v>
      </c>
      <c r="U3" s="12" t="s">
        <v>227</v>
      </c>
    </row>
    <row r="4" spans="1:21" ht="12.75">
      <c r="A4" s="40"/>
      <c r="B4" s="5"/>
      <c r="C4" s="5" t="s">
        <v>108</v>
      </c>
      <c r="D4" s="8" t="s">
        <v>234</v>
      </c>
      <c r="E4" s="22" t="s">
        <v>168</v>
      </c>
      <c r="F4" s="5" t="s">
        <v>115</v>
      </c>
      <c r="G4" s="5" t="s">
        <v>152</v>
      </c>
      <c r="H4" s="6" t="s">
        <v>143</v>
      </c>
      <c r="I4" s="7" t="s">
        <v>217</v>
      </c>
      <c r="J4" s="6" t="s">
        <v>218</v>
      </c>
      <c r="K4" s="5" t="s">
        <v>108</v>
      </c>
      <c r="L4" s="44" t="s">
        <v>179</v>
      </c>
      <c r="M4" s="7" t="s">
        <v>228</v>
      </c>
      <c r="N4" s="8" t="s">
        <v>228</v>
      </c>
      <c r="O4" s="12" t="s">
        <v>3</v>
      </c>
      <c r="P4" s="12" t="s">
        <v>204</v>
      </c>
      <c r="Q4" s="12" t="s">
        <v>232</v>
      </c>
      <c r="R4" s="8" t="s">
        <v>197</v>
      </c>
      <c r="S4" s="19" t="s">
        <v>219</v>
      </c>
      <c r="T4" s="12" t="s">
        <v>3</v>
      </c>
      <c r="U4" s="12" t="s">
        <v>3</v>
      </c>
    </row>
    <row r="5" spans="1:21" ht="12.75">
      <c r="A5" s="40"/>
      <c r="B5" s="1"/>
      <c r="D5" s="39"/>
      <c r="E5" s="43"/>
      <c r="F5" s="1"/>
      <c r="G5" s="1"/>
      <c r="H5" s="3"/>
      <c r="I5" s="3"/>
      <c r="J5" s="2"/>
      <c r="L5" s="48" t="s">
        <v>236</v>
      </c>
      <c r="M5" s="38" t="s">
        <v>114</v>
      </c>
      <c r="N5" s="41" t="s">
        <v>2</v>
      </c>
      <c r="O5" s="46" t="s">
        <v>101</v>
      </c>
      <c r="P5" s="11"/>
      <c r="Q5" s="11"/>
      <c r="R5" s="8" t="s">
        <v>1</v>
      </c>
      <c r="S5" s="19" t="s">
        <v>1</v>
      </c>
      <c r="T5" s="46" t="s">
        <v>101</v>
      </c>
      <c r="U5" s="46" t="s">
        <v>101</v>
      </c>
    </row>
    <row r="6" spans="1:21" ht="12.75">
      <c r="A6" s="40"/>
      <c r="D6" s="39"/>
      <c r="E6" s="43"/>
      <c r="H6" s="2"/>
      <c r="I6" s="2"/>
      <c r="J6" s="2"/>
      <c r="L6" s="36"/>
      <c r="M6" s="2"/>
      <c r="N6" s="39"/>
      <c r="O6" s="45"/>
      <c r="P6" s="11"/>
      <c r="Q6" s="11"/>
      <c r="R6" s="39"/>
      <c r="S6" s="49"/>
      <c r="T6" s="52" t="s">
        <v>195</v>
      </c>
      <c r="U6" s="52" t="s">
        <v>177</v>
      </c>
    </row>
    <row r="7" spans="1:21" ht="12.75">
      <c r="A7" s="40"/>
      <c r="D7" s="39"/>
      <c r="E7" s="43"/>
      <c r="H7" s="2"/>
      <c r="I7" s="2"/>
      <c r="J7" s="2"/>
      <c r="L7" s="36"/>
      <c r="M7" s="2"/>
      <c r="N7" s="39"/>
      <c r="O7" s="45"/>
      <c r="P7" s="11"/>
      <c r="Q7" s="11"/>
      <c r="R7" s="39"/>
      <c r="S7" s="49"/>
      <c r="T7" s="53"/>
      <c r="U7" s="53"/>
    </row>
    <row r="8" spans="1:21" ht="12.75">
      <c r="A8" s="40" t="s">
        <v>93</v>
      </c>
      <c r="B8" t="s">
        <v>103</v>
      </c>
      <c r="C8">
        <v>12</v>
      </c>
      <c r="D8" s="39">
        <v>86</v>
      </c>
      <c r="E8" s="43">
        <f>244.7529/D8</f>
        <v>2.845963953488372</v>
      </c>
      <c r="F8">
        <v>4</v>
      </c>
      <c r="G8">
        <v>12</v>
      </c>
      <c r="H8" s="2">
        <f>(F8/12)+(G8/24/12)</f>
        <v>0.375</v>
      </c>
      <c r="I8" s="3">
        <f>H8*(23/24)</f>
        <v>0.359375</v>
      </c>
      <c r="J8" s="2">
        <f>(244.7529/D8)*I8</f>
        <v>1.0227682957848838</v>
      </c>
      <c r="K8">
        <v>12</v>
      </c>
      <c r="L8" s="37">
        <f>K8/240</f>
        <v>0.05</v>
      </c>
      <c r="M8" s="3">
        <f>J8/K8</f>
        <v>0.08523069131540699</v>
      </c>
      <c r="N8" s="39">
        <f>M8*240</f>
        <v>20.455365915697676</v>
      </c>
      <c r="O8" s="45">
        <f>N8/244.753*(24/23)</f>
        <v>0.08720926669402537</v>
      </c>
      <c r="P8" s="11">
        <f>M8/0.08523</f>
        <v>1.0000081111745511</v>
      </c>
      <c r="Q8" s="11">
        <f>M8/0.075055</f>
        <v>1.1355764614670174</v>
      </c>
      <c r="R8" s="4">
        <f>(D8*K8/240)/H8</f>
        <v>11.466666666666667</v>
      </c>
      <c r="S8" s="18">
        <f>R8/0.2447529*(24/23)</f>
        <v>48.88692796409909</v>
      </c>
      <c r="T8" s="42">
        <f>1/R8</f>
        <v>0.0872093023255814</v>
      </c>
      <c r="U8" s="42">
        <f>T8/2</f>
        <v>0.0436046511627907</v>
      </c>
    </row>
    <row r="9" spans="1:21" ht="12.75">
      <c r="A9" s="40" t="s">
        <v>38</v>
      </c>
      <c r="B9" t="s">
        <v>173</v>
      </c>
      <c r="C9">
        <v>10</v>
      </c>
      <c r="D9" s="39">
        <v>92</v>
      </c>
      <c r="E9" s="43">
        <f>244.7529/D9</f>
        <v>2.6603576086956524</v>
      </c>
      <c r="F9">
        <v>4</v>
      </c>
      <c r="G9">
        <v>0</v>
      </c>
      <c r="H9" s="2">
        <f>(F9/12)+(G9/24/12)</f>
        <v>0.3333333333333333</v>
      </c>
      <c r="I9" s="3">
        <f>H9*(23/24)</f>
        <v>0.3194444444444444</v>
      </c>
      <c r="J9" s="2">
        <f>(244.7529/D9)*I9</f>
        <v>0.8498364583333333</v>
      </c>
      <c r="K9">
        <v>10</v>
      </c>
      <c r="L9" s="37">
        <f>K9/240</f>
        <v>0.041666666666666664</v>
      </c>
      <c r="M9" s="3">
        <f>J9/K9</f>
        <v>0.08498364583333333</v>
      </c>
      <c r="N9" s="39">
        <f>M9*240</f>
        <v>20.396075</v>
      </c>
      <c r="O9" s="45">
        <f>N9/244.753*(24/23)</f>
        <v>0.08695648621085428</v>
      </c>
      <c r="P9" s="11">
        <f>M9/0.08523</f>
        <v>0.9971095369392623</v>
      </c>
      <c r="Q9" s="11">
        <f>M9/0.075055</f>
        <v>1.1322849354917506</v>
      </c>
      <c r="R9" s="4">
        <f>(D9*K9/240)/H9</f>
        <v>11.500000000000002</v>
      </c>
      <c r="S9" s="18">
        <f>R9/0.2447529*(24/23)</f>
        <v>49.02904112678543</v>
      </c>
      <c r="T9" s="42">
        <f>1/R9</f>
        <v>0.08695652173913042</v>
      </c>
      <c r="U9" s="42">
        <f>T9/2</f>
        <v>0.04347826086956521</v>
      </c>
    </row>
    <row r="10" spans="1:21" ht="12.75">
      <c r="A10" s="40" t="s">
        <v>94</v>
      </c>
      <c r="B10" t="s">
        <v>162</v>
      </c>
      <c r="C10">
        <v>36</v>
      </c>
      <c r="D10" s="39">
        <v>69</v>
      </c>
      <c r="E10" s="43">
        <f>244.7529/D10</f>
        <v>3.5471434782608697</v>
      </c>
      <c r="F10">
        <v>11</v>
      </c>
      <c r="G10">
        <v>12</v>
      </c>
      <c r="H10" s="2">
        <f>(F10/12)+(G10/24/12)</f>
        <v>0.9583333333333333</v>
      </c>
      <c r="I10" s="3">
        <f>H10*(23/24)</f>
        <v>0.9184027777777778</v>
      </c>
      <c r="J10" s="2">
        <f>(244.7529/D10)*I10</f>
        <v>3.2577064236111113</v>
      </c>
      <c r="K10">
        <v>36</v>
      </c>
      <c r="L10" s="37">
        <f>K10/240</f>
        <v>0.15</v>
      </c>
      <c r="M10" s="3">
        <f>J10/K10</f>
        <v>0.09049184510030865</v>
      </c>
      <c r="N10" s="39">
        <f>M10*240</f>
        <v>21.718042824074075</v>
      </c>
      <c r="O10" s="45">
        <f>N10/244.753*(24/23)</f>
        <v>0.0925925547615578</v>
      </c>
      <c r="P10" s="11">
        <f>M10/0.08523</f>
        <v>1.0617370069260665</v>
      </c>
      <c r="Q10" s="11">
        <f>M10/0.075055</f>
        <v>1.205673773903253</v>
      </c>
      <c r="R10" s="4">
        <f>(D10*K10/240)/H10</f>
        <v>10.8</v>
      </c>
      <c r="S10" s="18">
        <f>R10/0.2447529*(24/23)</f>
        <v>46.0446647103724</v>
      </c>
      <c r="T10" s="42">
        <f>1/R10</f>
        <v>0.09259259259259259</v>
      </c>
      <c r="U10" s="42">
        <f>T10/2</f>
        <v>0.046296296296296294</v>
      </c>
    </row>
    <row r="11" spans="1:21" ht="12.75">
      <c r="A11" s="40" t="s">
        <v>31</v>
      </c>
      <c r="B11" t="s">
        <v>158</v>
      </c>
      <c r="C11">
        <v>30</v>
      </c>
      <c r="D11" s="39">
        <v>45</v>
      </c>
      <c r="E11" s="43">
        <f>244.7529/D11</f>
        <v>5.438953333333334</v>
      </c>
      <c r="F11">
        <v>6</v>
      </c>
      <c r="G11">
        <v>0</v>
      </c>
      <c r="H11" s="2">
        <f>(F11/12)+(G11/24/12)</f>
        <v>0.5</v>
      </c>
      <c r="I11" s="3">
        <f>H11*(23/24)</f>
        <v>0.4791666666666667</v>
      </c>
      <c r="J11" s="2">
        <f>(244.7529/D11)*I11</f>
        <v>2.606165138888889</v>
      </c>
      <c r="K11">
        <v>30</v>
      </c>
      <c r="L11" s="37">
        <f>K11/240</f>
        <v>0.125</v>
      </c>
      <c r="M11" s="3">
        <f>J11/K11</f>
        <v>0.0868721712962963</v>
      </c>
      <c r="N11" s="39">
        <f>M11*240</f>
        <v>20.849321111111113</v>
      </c>
      <c r="O11" s="45">
        <f>N11/244.753*(24/23)</f>
        <v>0.08888885257109551</v>
      </c>
      <c r="P11" s="11">
        <f>M11/0.08523</f>
        <v>1.0192675266490239</v>
      </c>
      <c r="Q11" s="11">
        <f>M11/0.075055</f>
        <v>1.1574468229471229</v>
      </c>
      <c r="R11" s="4">
        <f>(D11*K11/240)/H11</f>
        <v>11.25</v>
      </c>
      <c r="S11" s="18">
        <f>R11/0.2447529*(24/23)</f>
        <v>47.963192406637916</v>
      </c>
      <c r="T11" s="42">
        <f>1/R11</f>
        <v>0.08888888888888889</v>
      </c>
      <c r="U11" s="42">
        <f>T11/2</f>
        <v>0.044444444444444446</v>
      </c>
    </row>
    <row r="12" spans="1:21" ht="12.75">
      <c r="A12" s="40" t="s">
        <v>31</v>
      </c>
      <c r="B12" t="s">
        <v>113</v>
      </c>
      <c r="C12">
        <v>15</v>
      </c>
      <c r="D12" s="39">
        <v>68</v>
      </c>
      <c r="E12" s="43">
        <f>244.7529/D12</f>
        <v>3.5993073529411768</v>
      </c>
      <c r="F12">
        <v>4</v>
      </c>
      <c r="G12">
        <v>12</v>
      </c>
      <c r="H12" s="2">
        <f>(F12/12)+(G12/24/12)</f>
        <v>0.375</v>
      </c>
      <c r="I12" s="3">
        <f>H12*(23/24)</f>
        <v>0.359375</v>
      </c>
      <c r="J12" s="2">
        <f>(244.7529/D12)*I12</f>
        <v>1.2935010799632354</v>
      </c>
      <c r="K12">
        <v>15</v>
      </c>
      <c r="L12" s="37">
        <f>K12/240</f>
        <v>0.0625</v>
      </c>
      <c r="M12" s="3">
        <f>J12/K12</f>
        <v>0.08623340533088236</v>
      </c>
      <c r="N12" s="39">
        <f>M12*240</f>
        <v>20.696017279411766</v>
      </c>
      <c r="O12" s="45">
        <f>N12/244.753*(24/23)</f>
        <v>0.08823525806689626</v>
      </c>
      <c r="P12" s="11">
        <f>M12/0.08523</f>
        <v>1.011772912482487</v>
      </c>
      <c r="Q12" s="11">
        <f>M12/0.075055</f>
        <v>1.1489361845430999</v>
      </c>
      <c r="R12" s="4">
        <f>(D12*K12/240)/H12</f>
        <v>11.333333333333334</v>
      </c>
      <c r="S12" s="18">
        <f>R12/0.2447529*(24/23)</f>
        <v>48.31847531335375</v>
      </c>
      <c r="T12" s="42">
        <f>1/R12</f>
        <v>0.08823529411764705</v>
      </c>
      <c r="U12" s="42">
        <f>T12/2</f>
        <v>0.044117647058823525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