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Symbols" sheetId="1" r:id="rId1"/>
    <sheet name="Dictionary" sheetId="2" r:id="rId2"/>
    <sheet name="Bruges_Main" sheetId="3" r:id="rId3"/>
    <sheet name="Scarlets" sheetId="4" r:id="rId4"/>
    <sheet name="Bruges" sheetId="5" r:id="rId5"/>
    <sheet name="Ghent" sheetId="6" r:id="rId6"/>
    <sheet name="Ypres" sheetId="7" r:id="rId7"/>
    <sheet name="Brussels" sheetId="8" r:id="rId8"/>
    <sheet name="Mechelen" sheetId="9" r:id="rId9"/>
    <sheet name="Wervik" sheetId="10" r:id="rId10"/>
    <sheet name="Gifts" sheetId="11" r:id="rId11"/>
    <sheet name="Dixmude" sheetId="12" r:id="rId12"/>
    <sheet name="Tournai" sheetId="13" r:id="rId13"/>
    <sheet name="Valenciennes" sheetId="14" r:id="rId14"/>
    <sheet name="Lille" sheetId="15" r:id="rId15"/>
    <sheet name="Ghistelles" sheetId="16" r:id="rId16"/>
    <sheet name="Oudenaarde" sheetId="17" r:id="rId17"/>
    <sheet name="Vilvoorde" sheetId="18" r:id="rId18"/>
    <sheet name="Termonde" sheetId="19" r:id="rId19"/>
    <sheet name="Duchy of Brabant" sheetId="20" r:id="rId20"/>
    <sheet name="Courtrai" sheetId="21" r:id="rId21"/>
    <sheet name="Diest" sheetId="22" r:id="rId22"/>
    <sheet name="Comines" sheetId="23" r:id="rId23"/>
    <sheet name="Roulers" sheetId="24" r:id="rId24"/>
    <sheet name="Menin" sheetId="25" r:id="rId25"/>
    <sheet name="Saint Omer" sheetId="26" r:id="rId26"/>
    <sheet name="Halluin" sheetId="27" r:id="rId27"/>
    <sheet name="Lier" sheetId="28" r:id="rId28"/>
    <sheet name="Douai" sheetId="29" r:id="rId29"/>
    <sheet name="Montivilliers" sheetId="30" r:id="rId30"/>
    <sheet name="Eeklo" sheetId="31" r:id="rId31"/>
    <sheet name="Montreuil" sheetId="32" r:id="rId32"/>
    <sheet name="Cambrai" sheetId="33" r:id="rId33"/>
    <sheet name="Leyden" sheetId="34" r:id="rId34"/>
    <sheet name="Linselles" sheetId="35" r:id="rId35"/>
    <sheet name="Fauquemont" sheetId="36" r:id="rId36"/>
    <sheet name="Zichem" sheetId="37" r:id="rId37"/>
    <sheet name="Neuve Eglise" sheetId="38" r:id="rId38"/>
  </sheets>
  <definedNames>
    <definedName name="_xlnm.Print_Titles" localSheetId="4">'Bruges'!$1:$2</definedName>
    <definedName name="_xlnm.Print_Titles" localSheetId="2">'Bruges_Main'!$1:$2</definedName>
    <definedName name="_xlnm.Print_Titles" localSheetId="7">'Brussels'!$1:$2</definedName>
    <definedName name="_xlnm.Print_Titles" localSheetId="32">'Cambrai'!$1:$2</definedName>
    <definedName name="_xlnm.Print_Titles" localSheetId="22">'Comines'!$1:$2</definedName>
    <definedName name="_xlnm.Print_Titles" localSheetId="20">'Courtrai'!$1:$2</definedName>
    <definedName name="_xlnm.Print_Titles" localSheetId="1">'Dictionary'!$1:$2</definedName>
    <definedName name="_xlnm.Print_Titles" localSheetId="21">'Diest'!$1:$2</definedName>
    <definedName name="_xlnm.Print_Titles" localSheetId="11">'Dixmude'!$1:$2</definedName>
    <definedName name="_xlnm.Print_Titles" localSheetId="28">'Douai'!$1:$2</definedName>
    <definedName name="_xlnm.Print_Titles" localSheetId="19">'Duchy of Brabant'!$1:$2</definedName>
    <definedName name="_xlnm.Print_Titles" localSheetId="30">'Eeklo'!$1:$2</definedName>
    <definedName name="_xlnm.Print_Titles" localSheetId="35">'Fauquemont'!$1:$2</definedName>
    <definedName name="_xlnm.Print_Titles" localSheetId="5">'Ghent'!$1:$2</definedName>
    <definedName name="_xlnm.Print_Titles" localSheetId="15">'Ghistelles'!$1:$2</definedName>
    <definedName name="_xlnm.Print_Titles" localSheetId="10">'Gifts'!$1:$2</definedName>
    <definedName name="_xlnm.Print_Titles" localSheetId="26">'Halluin'!$1:$2</definedName>
    <definedName name="_xlnm.Print_Titles" localSheetId="33">'Leyden'!$1:$2</definedName>
    <definedName name="_xlnm.Print_Titles" localSheetId="27">'Lier'!$1:$2</definedName>
    <definedName name="_xlnm.Print_Titles" localSheetId="14">'Lille'!$1:$2</definedName>
    <definedName name="_xlnm.Print_Titles" localSheetId="34">'Linselles'!$1:$2</definedName>
    <definedName name="_xlnm.Print_Titles" localSheetId="8">'Mechelen'!$1:$2</definedName>
    <definedName name="_xlnm.Print_Titles" localSheetId="24">'Menin'!$1:$2</definedName>
    <definedName name="_xlnm.Print_Titles" localSheetId="29">'Montivilliers'!$1:$2</definedName>
    <definedName name="_xlnm.Print_Titles" localSheetId="31">'Montreuil'!$1:$2</definedName>
    <definedName name="_xlnm.Print_Titles" localSheetId="37">'Neuve Eglise'!$1:$2</definedName>
    <definedName name="_xlnm.Print_Titles" localSheetId="16">'Oudenaarde'!$1:$2</definedName>
    <definedName name="_xlnm.Print_Titles" localSheetId="23">'Roulers'!$1:$2</definedName>
    <definedName name="_xlnm.Print_Titles" localSheetId="25">'Saint Omer'!$1:$2</definedName>
    <definedName name="_xlnm.Print_Titles" localSheetId="3">'Scarlets'!$1:$2</definedName>
    <definedName name="_xlnm.Print_Titles" localSheetId="0">'Symbols'!$1:$2</definedName>
    <definedName name="_xlnm.Print_Titles" localSheetId="18">'Termonde'!$1:$2</definedName>
    <definedName name="_xlnm.Print_Titles" localSheetId="12">'Tournai'!$1:$2</definedName>
    <definedName name="_xlnm.Print_Titles" localSheetId="13">'Valenciennes'!$1:$2</definedName>
    <definedName name="_xlnm.Print_Titles" localSheetId="17">'Vilvoorde'!$1:$2</definedName>
    <definedName name="_xlnm.Print_Titles" localSheetId="9">'Wervik'!$1:$2</definedName>
    <definedName name="_xlnm.Print_Titles" localSheetId="6">'Ypres'!$1:$2</definedName>
    <definedName name="_xlnm.Print_Titles" localSheetId="36">'Zichem'!$1:$2</definedName>
  </definedNames>
  <calcPr fullCalcOnLoad="1"/>
</workbook>
</file>

<file path=xl/sharedStrings.xml><?xml version="1.0" encoding="utf-8"?>
<sst xmlns="http://schemas.openxmlformats.org/spreadsheetml/2006/main" count="9387" uniqueCount="1574">
  <si>
    <t xml:space="preserve"> £ gr Flem</t>
  </si>
  <si>
    <t xml:space="preserve"> in pond groot</t>
  </si>
  <si>
    <t>&amp; Finishing</t>
  </si>
  <si>
    <t>?</t>
  </si>
  <si>
    <t>[Bruges] Lichte Graeuwe Lakenen</t>
  </si>
  <si>
    <t>[Narrow]</t>
  </si>
  <si>
    <t>13 Scerewetters + 2 Lastcnapen</t>
  </si>
  <si>
    <t>2 Zwarte Bruxsche Lakene</t>
  </si>
  <si>
    <t>Decimal £</t>
  </si>
  <si>
    <t>127.326 d. groot</t>
  </si>
  <si>
    <t>in £ gr Fleming</t>
  </si>
  <si>
    <t>N.B. Query is this only a half cloth as value is given as 1/2 = 26s £ groot?</t>
  </si>
  <si>
    <t>1418-19</t>
  </si>
  <si>
    <t>1419-20</t>
  </si>
  <si>
    <t>2 Wachters</t>
  </si>
  <si>
    <t>2 Wachters + W[eavers] + F[ullers]</t>
  </si>
  <si>
    <t>N.B.  Total value for this and following entry given as £53 0s 0d.  Cloth is "Ypres Cuer[laken]"</t>
  </si>
  <si>
    <t>N.B. 11 Blaeuwe Eeuwerlinghe @ p/p £6 15s 0d groot.  Cost "15 fine eeuwerlinghe te doen greynen" [11 cloths + 4 more] of £3 14s 6d groot per cloth.</t>
  </si>
  <si>
    <t>N.B. Cost of 1 cloth given as £2 12s 0d groot and 6 ells as £10s 0d groot.</t>
  </si>
  <si>
    <t>P/p given as 30s 3d £ groot.</t>
  </si>
  <si>
    <t>P/p given as 33s £ groot</t>
  </si>
  <si>
    <t>in £ gr</t>
  </si>
  <si>
    <t>in £ groot</t>
  </si>
  <si>
    <t>£ Brabant</t>
  </si>
  <si>
    <t>£ Parisis</t>
  </si>
  <si>
    <t>£ groot</t>
  </si>
  <si>
    <t>£ H.P.</t>
  </si>
  <si>
    <t xml:space="preserve">£ groot </t>
  </si>
  <si>
    <t>Algemeen Rijksarchief België, Rekenkamer</t>
  </si>
  <si>
    <t>N.B. 5 additional cloths noted for Upper Clerke for this entry which is entered below.  Total value for 11 cloths given as £104 10s 0d groot.  Dimensions of cloth givne as 33 ells x 9 qtrs ghecrompen which allows p/ell to be determined.</t>
  </si>
  <si>
    <t>N.B. 5 additional cloths noted for Upper Clerke for this entry which is entered below.  Total value for 11 cloths given as £54 0s 0d.  Cloth is "cuerlaken"</t>
  </si>
  <si>
    <t>N.B. In backets after cloth description "B".  Total value for this and following entry given as £25 12s 0d groot.</t>
  </si>
  <si>
    <t>N.B. P/p of cloth given as £3 8s 0d and value of 14 ells given as £1 9s 2d groot.</t>
  </si>
  <si>
    <t>N.B. Total value for this and following entry given as £14 5s 0d groot.  Bruges cuerlakene dimensions.</t>
  </si>
  <si>
    <t>N.B. Value of 2 cloths given as £5 0s 0d groot + value of 22.5 ells of same cloth given as £1 12s 6d groot.</t>
  </si>
  <si>
    <t>N.B. Value of 2 cloths given as £5 0s 0d groot and value of 23 ells given as £1 13s 4d groot.</t>
  </si>
  <si>
    <t>N.B. Value of 2 cloths given as £8 10s 0d groot + value of 22.5 ells of same cloth given as £2 13s 2d groot.</t>
  </si>
  <si>
    <t>Total value given as £8 7s 1d groot and p/p of £2 7s 9d yields 3.5 cloths total.</t>
  </si>
  <si>
    <t>to £ groot</t>
  </si>
  <si>
    <t>? unknown</t>
  </si>
  <si>
    <t>1420-21</t>
  </si>
  <si>
    <t>ash-coloured (De Poerck: 'la même chose que afr. cendré ?); but possibly also sanguine</t>
  </si>
  <si>
    <t>? red-based dye with alum? [zieden]</t>
  </si>
  <si>
    <t>Armentières (SW Flanders: now in France)</t>
  </si>
  <si>
    <t>gemingd = mellé = medley cloths (differently coloured wools)</t>
  </si>
  <si>
    <t>? keepers of the chamber (camera)? [or woolcomb makers?: kam = woolcomb]</t>
  </si>
  <si>
    <t>1417-18</t>
  </si>
  <si>
    <t>1421-22</t>
  </si>
  <si>
    <t>223.1.a</t>
  </si>
  <si>
    <t>223.1.b</t>
  </si>
  <si>
    <t>223.1.c</t>
  </si>
  <si>
    <t>223.2</t>
  </si>
  <si>
    <t>223.3.a</t>
  </si>
  <si>
    <t>223.3.b</t>
  </si>
  <si>
    <t>223.4</t>
  </si>
  <si>
    <t>223.5</t>
  </si>
  <si>
    <t>223.6</t>
  </si>
  <si>
    <t>223.7</t>
  </si>
  <si>
    <t>223.8</t>
  </si>
  <si>
    <t>223.9</t>
  </si>
  <si>
    <t>224.1</t>
  </si>
  <si>
    <t>224.2</t>
  </si>
  <si>
    <t>225.1.a.i</t>
  </si>
  <si>
    <t>225.1.a.ii</t>
  </si>
  <si>
    <t>225.1.b.i</t>
  </si>
  <si>
    <t>225.1.b.ii</t>
  </si>
  <si>
    <t>225.1.c.i</t>
  </si>
  <si>
    <t>225.1.c.ii</t>
  </si>
  <si>
    <t>225.2</t>
  </si>
  <si>
    <t>225.3</t>
  </si>
  <si>
    <t>225.4</t>
  </si>
  <si>
    <t>225.5</t>
  </si>
  <si>
    <t>225.6</t>
  </si>
  <si>
    <t>226.1.a</t>
  </si>
  <si>
    <t>226.1.b</t>
  </si>
  <si>
    <t>226.1.c</t>
  </si>
  <si>
    <t>226.1.e</t>
  </si>
  <si>
    <t>226.10</t>
  </si>
  <si>
    <t>226.2</t>
  </si>
  <si>
    <t>226.3.a</t>
  </si>
  <si>
    <t>226.3.b</t>
  </si>
  <si>
    <t>226.4</t>
  </si>
  <si>
    <t>226.5.a</t>
  </si>
  <si>
    <t>226.5.b</t>
  </si>
  <si>
    <t>226.6</t>
  </si>
  <si>
    <t>226.7</t>
  </si>
  <si>
    <t>226.8</t>
  </si>
  <si>
    <t>226.9</t>
  </si>
  <si>
    <t>227.1</t>
  </si>
  <si>
    <t>227.2</t>
  </si>
  <si>
    <t>228.1.a.i</t>
  </si>
  <si>
    <t>228.1.a.ii</t>
  </si>
  <si>
    <t>228.1.a.iii</t>
  </si>
  <si>
    <t>228.1.b.i</t>
  </si>
  <si>
    <t>228.1.b.ii</t>
  </si>
  <si>
    <t>228.1.b.iii</t>
  </si>
  <si>
    <t>228.1.b.iv</t>
  </si>
  <si>
    <t>228.1.c</t>
  </si>
  <si>
    <t>228.1.d</t>
  </si>
  <si>
    <t>228.2</t>
  </si>
  <si>
    <t>228.3</t>
  </si>
  <si>
    <t>228.4</t>
  </si>
  <si>
    <t>228.5</t>
  </si>
  <si>
    <t>228.6</t>
  </si>
  <si>
    <t>229.1.a</t>
  </si>
  <si>
    <t>229.1.b</t>
  </si>
  <si>
    <t>229.1.c</t>
  </si>
  <si>
    <t>229.10</t>
  </si>
  <si>
    <t>229.2</t>
  </si>
  <si>
    <t>229.3</t>
  </si>
  <si>
    <t>229.4</t>
  </si>
  <si>
    <t>229.5</t>
  </si>
  <si>
    <t>229.6</t>
  </si>
  <si>
    <t>229.7</t>
  </si>
  <si>
    <t>229.8</t>
  </si>
  <si>
    <t>229.9</t>
  </si>
  <si>
    <t>230.1</t>
  </si>
  <si>
    <t>230.2</t>
  </si>
  <si>
    <t>231.1.a.i</t>
  </si>
  <si>
    <t>231.1.a.ii</t>
  </si>
  <si>
    <t>231.1.b.i</t>
  </si>
  <si>
    <t>231.1.b.ii</t>
  </si>
  <si>
    <t>231.1.c</t>
  </si>
  <si>
    <t>231.2</t>
  </si>
  <si>
    <t>231.3</t>
  </si>
  <si>
    <t>231.4</t>
  </si>
  <si>
    <t>231.5</t>
  </si>
  <si>
    <t>231.6</t>
  </si>
  <si>
    <t>231.7</t>
  </si>
  <si>
    <t>232.1.a.i</t>
  </si>
  <si>
    <t>232.1.a.ii</t>
  </si>
  <si>
    <t>232.1.b</t>
  </si>
  <si>
    <t>232.1.c</t>
  </si>
  <si>
    <t>232.2</t>
  </si>
  <si>
    <t>232.3</t>
  </si>
  <si>
    <t>232.4</t>
  </si>
  <si>
    <t>232.5</t>
  </si>
  <si>
    <t>232.6</t>
  </si>
  <si>
    <t>232.7</t>
  </si>
  <si>
    <t>232.8</t>
  </si>
  <si>
    <t>232.9</t>
  </si>
  <si>
    <t>233.1</t>
  </si>
  <si>
    <t>233.2</t>
  </si>
  <si>
    <t>234.1.a</t>
  </si>
  <si>
    <t>234.1.b</t>
  </si>
  <si>
    <t>234.1.c.i</t>
  </si>
  <si>
    <t>234.1.c.ii</t>
  </si>
  <si>
    <t>234.1.c.iii</t>
  </si>
  <si>
    <t>234.1.c.iv</t>
  </si>
  <si>
    <t>234.2</t>
  </si>
  <si>
    <t>234.3</t>
  </si>
  <si>
    <t>234.4</t>
  </si>
  <si>
    <t>234.5</t>
  </si>
  <si>
    <t>234.6</t>
  </si>
  <si>
    <t>234.7</t>
  </si>
  <si>
    <t>234.8.a</t>
  </si>
  <si>
    <t>234.8.b</t>
  </si>
  <si>
    <t>235.1.a</t>
  </si>
  <si>
    <t>235.1.b</t>
  </si>
  <si>
    <t>235.1.c</t>
  </si>
  <si>
    <t>235.2</t>
  </si>
  <si>
    <t>235.3</t>
  </si>
  <si>
    <t>235.4</t>
  </si>
  <si>
    <t>235.5</t>
  </si>
  <si>
    <t>235.6.a</t>
  </si>
  <si>
    <t>235.6.b</t>
  </si>
  <si>
    <t>235.7</t>
  </si>
  <si>
    <t>235.8</t>
  </si>
  <si>
    <t>236.1</t>
  </si>
  <si>
    <t>236.2</t>
  </si>
  <si>
    <t>237.1.a.i</t>
  </si>
  <si>
    <t>237.1.a.ii</t>
  </si>
  <si>
    <t>237.1.b</t>
  </si>
  <si>
    <t>237.1.c.i</t>
  </si>
  <si>
    <t>237.1.c.ii</t>
  </si>
  <si>
    <t>238.1</t>
  </si>
  <si>
    <t>239.1.a</t>
  </si>
  <si>
    <t>239.1.b</t>
  </si>
  <si>
    <t>239.1.c</t>
  </si>
  <si>
    <t>239.2</t>
  </si>
  <si>
    <t>239.3</t>
  </si>
  <si>
    <t>239.4</t>
  </si>
  <si>
    <t>239.5</t>
  </si>
  <si>
    <t>239.6</t>
  </si>
  <si>
    <t>239.7.a</t>
  </si>
  <si>
    <t>239.7.b</t>
  </si>
  <si>
    <t>239.7.c</t>
  </si>
  <si>
    <t>239.7.d</t>
  </si>
  <si>
    <t>239.8.a</t>
  </si>
  <si>
    <t>239.8.b</t>
  </si>
  <si>
    <t>240.1.a</t>
  </si>
  <si>
    <t>240.1.b</t>
  </si>
  <si>
    <t>240.1.c</t>
  </si>
  <si>
    <t>241.1.a</t>
  </si>
  <si>
    <t>241.1.b</t>
  </si>
  <si>
    <t>241.1.c</t>
  </si>
  <si>
    <t>241.10</t>
  </si>
  <si>
    <t>241.2</t>
  </si>
  <si>
    <t>241.3.a</t>
  </si>
  <si>
    <t>241.3.b</t>
  </si>
  <si>
    <t>241.4</t>
  </si>
  <si>
    <t>241.5</t>
  </si>
  <si>
    <t>241.6.a</t>
  </si>
  <si>
    <t>241.6.b</t>
  </si>
  <si>
    <t>241.7</t>
  </si>
  <si>
    <t>241.8.a</t>
  </si>
  <si>
    <t>241.8.b</t>
  </si>
  <si>
    <t>241.9</t>
  </si>
  <si>
    <t>242.1.a</t>
  </si>
  <si>
    <t>242.1.b</t>
  </si>
  <si>
    <t>242.1.c</t>
  </si>
  <si>
    <t>243.2</t>
  </si>
  <si>
    <t>244.1.a</t>
  </si>
  <si>
    <t>244.1.b</t>
  </si>
  <si>
    <t>244.1.c</t>
  </si>
  <si>
    <t>244.10</t>
  </si>
  <si>
    <t>244.11.a</t>
  </si>
  <si>
    <t>244.11.b</t>
  </si>
  <si>
    <t>244.2</t>
  </si>
  <si>
    <t>244.3</t>
  </si>
  <si>
    <t>244.4</t>
  </si>
  <si>
    <t>244.5</t>
  </si>
  <si>
    <t>244.6</t>
  </si>
  <si>
    <t>244.7</t>
  </si>
  <si>
    <t>244.8</t>
  </si>
  <si>
    <t>244.9</t>
  </si>
  <si>
    <t>245.2</t>
  </si>
  <si>
    <t>246.1.a</t>
  </si>
  <si>
    <t>246.1.b</t>
  </si>
  <si>
    <t>246.1.c</t>
  </si>
  <si>
    <t>247.1.a</t>
  </si>
  <si>
    <t>247.1.b</t>
  </si>
  <si>
    <t>247.1.c</t>
  </si>
  <si>
    <t>247.10</t>
  </si>
  <si>
    <t>247.11</t>
  </si>
  <si>
    <t>247.2</t>
  </si>
  <si>
    <t>247.3</t>
  </si>
  <si>
    <t>247.4</t>
  </si>
  <si>
    <t>247.5</t>
  </si>
  <si>
    <t>247.6</t>
  </si>
  <si>
    <t>247.7</t>
  </si>
  <si>
    <t>247.8.a</t>
  </si>
  <si>
    <t>247.8.b</t>
  </si>
  <si>
    <t>247.9</t>
  </si>
  <si>
    <t>248.2</t>
  </si>
  <si>
    <t>249.1.a</t>
  </si>
  <si>
    <t>249.1.b</t>
  </si>
  <si>
    <t>249.1.c</t>
  </si>
  <si>
    <t>3 Wachters</t>
  </si>
  <si>
    <t>3 Wachters + 2 Wachters + W[eavers] + F[ullers]</t>
  </si>
  <si>
    <t>3 Wachters + W[eavers] + F[ullers]</t>
  </si>
  <si>
    <t>3 Wachters + W[eavers] + F[ullers] + Gordijnen</t>
  </si>
  <si>
    <t>30r</t>
  </si>
  <si>
    <t>31r</t>
  </si>
  <si>
    <t>32472</t>
  </si>
  <si>
    <t>32473</t>
  </si>
  <si>
    <t>32474</t>
  </si>
  <si>
    <t>32475</t>
  </si>
  <si>
    <t>32476</t>
  </si>
  <si>
    <t>32477</t>
  </si>
  <si>
    <t>32478</t>
  </si>
  <si>
    <t>32479</t>
  </si>
  <si>
    <t>32480</t>
  </si>
  <si>
    <t>32481</t>
  </si>
  <si>
    <t>32r</t>
  </si>
  <si>
    <t>33r</t>
  </si>
  <si>
    <t>33v</t>
  </si>
  <si>
    <t>34r</t>
  </si>
  <si>
    <t>35r</t>
  </si>
  <si>
    <t>35v</t>
  </si>
  <si>
    <t>36r</t>
  </si>
  <si>
    <t>37r</t>
  </si>
  <si>
    <t>38r</t>
  </si>
  <si>
    <t>38v</t>
  </si>
  <si>
    <t>39r</t>
  </si>
  <si>
    <t>39v</t>
  </si>
  <si>
    <t>4 Deelmans Clerke</t>
  </si>
  <si>
    <t>4 Halve Graeuwe Monstreulsche Lakene</t>
  </si>
  <si>
    <t>4 Montreuil Grey Half Cloths</t>
  </si>
  <si>
    <t>40v</t>
  </si>
  <si>
    <t>41r</t>
  </si>
  <si>
    <t>41v</t>
  </si>
  <si>
    <t>42r</t>
  </si>
  <si>
    <t>42v</t>
  </si>
  <si>
    <t>43r</t>
  </si>
  <si>
    <t>44v</t>
  </si>
  <si>
    <t>50r</t>
  </si>
  <si>
    <t>6 Serganten</t>
  </si>
  <si>
    <t>6 Sergianten</t>
  </si>
  <si>
    <t>A</t>
  </si>
  <si>
    <t>Account</t>
  </si>
  <si>
    <t>écu: French gold coin with a shield, struck from 1336</t>
  </si>
  <si>
    <t>a very cheap worsted type of cloth (of ancient origins)</t>
  </si>
  <si>
    <t>AB</t>
  </si>
  <si>
    <t>ABM</t>
  </si>
  <si>
    <t>ABSC</t>
  </si>
  <si>
    <t>accolleyen, acoleye</t>
  </si>
  <si>
    <t>Acoleyen Blue</t>
  </si>
  <si>
    <t>aerme lieden</t>
  </si>
  <si>
    <t>aerzidine, haerzidene</t>
  </si>
  <si>
    <t>AGR: CC</t>
  </si>
  <si>
    <t>also: lining of clothing, interior clothing? Or voeder: feeding, and thus dinner clothing?</t>
  </si>
  <si>
    <t>and Dyeing</t>
  </si>
  <si>
    <t>and Finishing</t>
  </si>
  <si>
    <t>and Handling Costs</t>
  </si>
  <si>
    <t>and Remarks</t>
  </si>
  <si>
    <t>appelbloesemen</t>
  </si>
  <si>
    <t>apple blossom</t>
  </si>
  <si>
    <t xml:space="preserve">Apple Blossom </t>
  </si>
  <si>
    <t>Apple Blossom Medley</t>
  </si>
  <si>
    <t>Apple Blossom Scarlet</t>
  </si>
  <si>
    <t>Apple Colored Cloth</t>
  </si>
  <si>
    <t>Aquamarine Blue</t>
  </si>
  <si>
    <t>AR Rek</t>
  </si>
  <si>
    <t>araengen, orengen</t>
  </si>
  <si>
    <t>arbitrators: in settling commercial or guild disputes</t>
  </si>
  <si>
    <t>Archive</t>
  </si>
  <si>
    <t>Archives</t>
  </si>
  <si>
    <t>AS</t>
  </si>
  <si>
    <t>as % of</t>
  </si>
  <si>
    <t>as % of Total</t>
  </si>
  <si>
    <t>as % total price</t>
  </si>
  <si>
    <t>Ash Colored [Sandreyen] Cloth</t>
  </si>
  <si>
    <t>Ash Colored [Sandreyen] Scarlet</t>
  </si>
  <si>
    <t>ASSC</t>
  </si>
  <si>
    <t>assistants, servants, journeymen</t>
  </si>
  <si>
    <t>B</t>
  </si>
  <si>
    <t>B1</t>
  </si>
  <si>
    <t>B1 + R1 + G1</t>
  </si>
  <si>
    <t>B1A</t>
  </si>
  <si>
    <t>B1C</t>
  </si>
  <si>
    <t>B1H</t>
  </si>
  <si>
    <t>B1HSC</t>
  </si>
  <si>
    <t>B1L</t>
  </si>
  <si>
    <t>B1M</t>
  </si>
  <si>
    <t>B1MSL</t>
  </si>
  <si>
    <t>B1P</t>
  </si>
  <si>
    <t>B1PSC</t>
  </si>
  <si>
    <t>B1R</t>
  </si>
  <si>
    <t>B1S</t>
  </si>
  <si>
    <t>B1SC</t>
  </si>
  <si>
    <t>B1SL</t>
  </si>
  <si>
    <t>B1TL</t>
  </si>
  <si>
    <t>B1V</t>
  </si>
  <si>
    <t>B1W</t>
  </si>
  <si>
    <t>B1Z</t>
  </si>
  <si>
    <t>B1ZMR</t>
  </si>
  <si>
    <t>B2</t>
  </si>
  <si>
    <t>B2 + R1 + B1</t>
  </si>
  <si>
    <t>B2A</t>
  </si>
  <si>
    <t>B2G1</t>
  </si>
  <si>
    <t>B2G2</t>
  </si>
  <si>
    <t>B2L</t>
  </si>
  <si>
    <t>B2M</t>
  </si>
  <si>
    <t>B2MA</t>
  </si>
  <si>
    <t>B2MR</t>
  </si>
  <si>
    <t>B2MSC</t>
  </si>
  <si>
    <t>B2S</t>
  </si>
  <si>
    <t>B2SL</t>
  </si>
  <si>
    <t>B2SLSC</t>
  </si>
  <si>
    <t>B2YSLSC</t>
  </si>
  <si>
    <t>B2Z</t>
  </si>
  <si>
    <t>B3</t>
  </si>
  <si>
    <t>bailiff</t>
  </si>
  <si>
    <t>bailliu</t>
  </si>
  <si>
    <t>Bailliu</t>
  </si>
  <si>
    <t>Basket in d gr</t>
  </si>
  <si>
    <t>bellaerden</t>
  </si>
  <si>
    <t>Belle = Bailleul (SW Flanders, now in France)</t>
  </si>
  <si>
    <t>Belsche</t>
  </si>
  <si>
    <t>bereet</t>
  </si>
  <si>
    <t>bescrevene</t>
  </si>
  <si>
    <t>black</t>
  </si>
  <si>
    <t>Black</t>
  </si>
  <si>
    <t>Blaeu + Roode + Groen Comensch Lakene</t>
  </si>
  <si>
    <t>Blaeu Bruxsch Laken</t>
  </si>
  <si>
    <t>Blaeu Bruxsch Lakin</t>
  </si>
  <si>
    <t>Blaeu Bruxsch Minsel Laken</t>
  </si>
  <si>
    <t>Blaeu Comensch Laken</t>
  </si>
  <si>
    <t>Blaeu Diesch Laken</t>
  </si>
  <si>
    <t>Blaeu Gheminghet Comensch Laken</t>
  </si>
  <si>
    <t>Blaeu Nieukeres Lakene</t>
  </si>
  <si>
    <t>Blaeus Bruxsch Lakene</t>
  </si>
  <si>
    <t>Blaeuwe Bruxsche Laken</t>
  </si>
  <si>
    <t>Blaeuwe Bruxsche Lakene</t>
  </si>
  <si>
    <t>Blaeuwe Bruxsche Lakenen</t>
  </si>
  <si>
    <t>Blaeuwe Comensche Lakenen</t>
  </si>
  <si>
    <t>Blaeuwe Comenshe Lakenen</t>
  </si>
  <si>
    <t>Blaeuwe Gheminghede Comensche</t>
  </si>
  <si>
    <t>blaeuwen</t>
  </si>
  <si>
    <t>Blaeuwen Comenschen Laken</t>
  </si>
  <si>
    <t>Blau Bruxsch Laken</t>
  </si>
  <si>
    <t>Blauwe Comensche Mingselen</t>
  </si>
  <si>
    <t>Blauwe Comnesche Lakene + Ells</t>
  </si>
  <si>
    <t>blue</t>
  </si>
  <si>
    <t>Blue</t>
  </si>
  <si>
    <t>Blue Medley</t>
  </si>
  <si>
    <t>Blue Scarlet Cloth</t>
  </si>
  <si>
    <t>Blue Striped Cloth</t>
  </si>
  <si>
    <t>Blue Striped Medley Cloth</t>
  </si>
  <si>
    <t>blue, blue-coloured cloth (De Poerck,  III, 8: drap bleu couleur d'ancolie; afr. acolie)</t>
  </si>
  <si>
    <t>boef</t>
  </si>
  <si>
    <t>Breed Blaeuwe Roesselaersche Lakene + 22.5 ells</t>
  </si>
  <si>
    <t>Breede Blaeuwe Roesselaers</t>
  </si>
  <si>
    <t>Breede Persche Roesselaersche Laken</t>
  </si>
  <si>
    <t>breede, breeden, breet</t>
  </si>
  <si>
    <t>Breet Blaeu Roeselaers Laken</t>
  </si>
  <si>
    <t>Breet Persch Roesselaers Laken</t>
  </si>
  <si>
    <t>BrG</t>
  </si>
  <si>
    <t>bright, vivid blue</t>
  </si>
  <si>
    <t>BrL</t>
  </si>
  <si>
    <t>BrL?</t>
  </si>
  <si>
    <t>broad, broadcloth: woven on a double horizontal loom</t>
  </si>
  <si>
    <t>Broad/</t>
  </si>
  <si>
    <t>brown</t>
  </si>
  <si>
    <t>Brown</t>
  </si>
  <si>
    <t>Brown Acoleyen Cloth</t>
  </si>
  <si>
    <t>Brown Cloth dyed in Madder</t>
  </si>
  <si>
    <t>Brown Green</t>
  </si>
  <si>
    <t>Brown Grey</t>
  </si>
  <si>
    <t>Brown Medley</t>
  </si>
  <si>
    <t>Brown Murrey Cloth</t>
  </si>
  <si>
    <t>Brown Sanguine</t>
  </si>
  <si>
    <t>Brown Scarlet Medley</t>
  </si>
  <si>
    <t>Brown Scarlet with Yellow Stripe</t>
  </si>
  <si>
    <t>Brown Striped Cloth</t>
  </si>
  <si>
    <t>BrSL</t>
  </si>
  <si>
    <t>Bruecelsch</t>
  </si>
  <si>
    <t>Bruges</t>
  </si>
  <si>
    <t>Bruges - Main</t>
  </si>
  <si>
    <t>Bruges [?] Red Cloth</t>
  </si>
  <si>
    <t>Bruges Black Cloth</t>
  </si>
  <si>
    <t>Bruges Blue Cloth</t>
  </si>
  <si>
    <t>Bruges Blue CLoth</t>
  </si>
  <si>
    <t>Bruges Blue Cloth [Ells]</t>
  </si>
  <si>
    <t>Bruges Blue Medley Cloth</t>
  </si>
  <si>
    <t>Bruges Bright Blue Cloth</t>
  </si>
  <si>
    <t>Bruges Brown Cloth</t>
  </si>
  <si>
    <t>Bruges Brown Grey Medley Cloth</t>
  </si>
  <si>
    <t>Bruges Brown Medley Cloth</t>
  </si>
  <si>
    <t>Bruges Brown Sanguine Cloth</t>
  </si>
  <si>
    <t>Bruges Cloth</t>
  </si>
  <si>
    <t>BRUGES CLOTH PRICES: Prices of Woollen Cloths Purchased for Bruges Civic Officials and Others, 1302-1400</t>
  </si>
  <si>
    <t>BRUGES CLOTH PRICES: Prices of Woollen Cloths Purchased for Bruges Civic Officials and Others, 1402-1496</t>
  </si>
  <si>
    <t>Bruges cuerlakene dimensions.</t>
  </si>
  <si>
    <t>Bruges Dark Blue Cloth</t>
  </si>
  <si>
    <t>Bruges Dark Green Cloth</t>
  </si>
  <si>
    <t>Bruges Dark Grey Cloth</t>
  </si>
  <si>
    <t>Bruges Fine "Serpent Medley" Cloth shrunk</t>
  </si>
  <si>
    <t>Bruges Fine "Serpent" Medley Cloth shrunk</t>
  </si>
  <si>
    <t>Bruges Fine Blue Cloth shrunk</t>
  </si>
  <si>
    <t>Bruges Fine Brown Cloth</t>
  </si>
  <si>
    <t>Bruges Fine Brown Cloth shrunk</t>
  </si>
  <si>
    <t>Bruges Fine Brown Medley Cloth</t>
  </si>
  <si>
    <t>Bruges Fine Dark Blue Cloth</t>
  </si>
  <si>
    <t>Bruges Fine Dark Green Medley</t>
  </si>
  <si>
    <t xml:space="preserve">Bruges Fine Dark Green Medley </t>
  </si>
  <si>
    <t>Bruges Fine Dark Green Medley Cloth shrunk</t>
  </si>
  <si>
    <t>Bruges Fine Green Cloth shrunk</t>
  </si>
  <si>
    <t>Bruges Fine Green Medley Cloth shrunk</t>
  </si>
  <si>
    <t>Bruges Fine Grey Brown [Natural Wool] Cloth shrunk</t>
  </si>
  <si>
    <t>Bruges Fine Grey Cloth</t>
  </si>
  <si>
    <t>Bruges FIne Grey Cloth</t>
  </si>
  <si>
    <t>Bruges Fine Grey Medley Cloth</t>
  </si>
  <si>
    <t>Bruges Fine Grey Medley Cloth shrunk</t>
  </si>
  <si>
    <t>Bruges Fine Medley Cloth</t>
  </si>
  <si>
    <t>Bruges Fine Red Cloth</t>
  </si>
  <si>
    <t>Bruges Fine White Apple Blossom Cloth</t>
  </si>
  <si>
    <t>Bruges Fine White Cloth</t>
  </si>
  <si>
    <t>Bruges Fine White Cloth unshrunken</t>
  </si>
  <si>
    <t>Bruges Fine White Medley Cloth</t>
  </si>
  <si>
    <t>Bruges Green + White Cloth</t>
  </si>
  <si>
    <t>Bruges Green + White Cloths</t>
  </si>
  <si>
    <t>Bruges Green Cloth</t>
  </si>
  <si>
    <t>Bruges Green Cloth + 22.5 ells</t>
  </si>
  <si>
    <t>Bruges Green Medley Cloth</t>
  </si>
  <si>
    <t xml:space="preserve">Bruges Green? Cloth </t>
  </si>
  <si>
    <t>Bruges Grey Cloth</t>
  </si>
  <si>
    <t>Bruges Grey Medley Cloth</t>
  </si>
  <si>
    <t>Bruges Light Green + Ells</t>
  </si>
  <si>
    <t>Bruges Light Green Cloth</t>
  </si>
  <si>
    <t>Bruges Light Grey Cloth</t>
  </si>
  <si>
    <t>Bruges Light Turkish Blue</t>
  </si>
  <si>
    <t>Bruges Medley Cloth</t>
  </si>
  <si>
    <t>Bruges Natural Wool [Brown Grey] Medley Cloth</t>
  </si>
  <si>
    <t>Bruges Natural Wool [Schiere] Cloth</t>
  </si>
  <si>
    <t>Bruges Natural Wool Colour Cloth</t>
  </si>
  <si>
    <t>Bruges Perse Cloth</t>
  </si>
  <si>
    <t>Bruges Red + White Cloths</t>
  </si>
  <si>
    <t>Bruges Red + White Cuerlaken Cloths</t>
  </si>
  <si>
    <t>Bruges Red Cloth</t>
  </si>
  <si>
    <t>Bruges Red Cloth + Ells</t>
  </si>
  <si>
    <t>Bruges Red Medley Cloth</t>
  </si>
  <si>
    <t>Bruges Striped Cloth</t>
  </si>
  <si>
    <t>Bruges Voederinghe [Lining] Cloth</t>
  </si>
  <si>
    <t>Bruges White + Brown Cloths</t>
  </si>
  <si>
    <t>Bruges White + Green Cloths</t>
  </si>
  <si>
    <t>Bruges White + Light Blue Cloths</t>
  </si>
  <si>
    <t>Bruges White Cloth</t>
  </si>
  <si>
    <t>Bruges White Cloth unshrunken</t>
  </si>
  <si>
    <t>Bruges woollen cloth sealed with insignia of the lamb (Lamb of God)</t>
  </si>
  <si>
    <t>BRUGES:  Cloth Prices, 1302 - 1498</t>
  </si>
  <si>
    <t>Bruges?</t>
  </si>
  <si>
    <t>Bruges? Fine Blaeuwe Eeuwerlinghe te doen greynen</t>
  </si>
  <si>
    <t>Bruges? Fine White Cloth unshrunken</t>
  </si>
  <si>
    <t>Bruges? Fine Witte Lakine onghecrompen</t>
  </si>
  <si>
    <t>Bruges? Heavenly Blue Scarlet Cloth</t>
  </si>
  <si>
    <t>Bruges? Root Laken</t>
  </si>
  <si>
    <t>Brugge = Bruges (Flanders)</t>
  </si>
  <si>
    <t>Brughscen, Bruxschen, Bruxen</t>
  </si>
  <si>
    <t>Brugsche Blaeuwe Myncselen Laken</t>
  </si>
  <si>
    <t>Brune Bruxsche Lakenen</t>
  </si>
  <si>
    <t>Brune Graeuwe  Wervixsche Laken + 6 Ells</t>
  </si>
  <si>
    <t>Brune Graeuwe Gheminghede Lakene [Bruxsche]</t>
  </si>
  <si>
    <t>Brune Graue [Gheminghede] Beghine Sciere Bruxsche Lakenen</t>
  </si>
  <si>
    <t>Brune Roeselaersche Lakenen</t>
  </si>
  <si>
    <t>Brune Roesselaersche Laken + Ells</t>
  </si>
  <si>
    <t>Brune Sangwine Bruxsche Lakene</t>
  </si>
  <si>
    <t>Brunen Bruxsche Gheminghe Laken</t>
  </si>
  <si>
    <t>Brussel = Bruxelles = Brussels (Brabant)</t>
  </si>
  <si>
    <t>Brussels Cloth</t>
  </si>
  <si>
    <t>Brussels Medley Cloth</t>
  </si>
  <si>
    <t>Bruun + Rood + Blaeu Comensch Laken</t>
  </si>
  <si>
    <t>Bruun Comensche Lakenen</t>
  </si>
  <si>
    <t>Bruun Wervix Laken</t>
  </si>
  <si>
    <t>bruun, brunen</t>
  </si>
  <si>
    <t>Bruxsch Graeu Laken</t>
  </si>
  <si>
    <t>Bruxsche Beghine Sciergraeuwe Lakenen</t>
  </si>
  <si>
    <t>Bruxsche Brune Gheminghede Laken</t>
  </si>
  <si>
    <t>Bruxsche Fine Witte Gheminghede Lakene</t>
  </si>
  <si>
    <t>Bruxsche Lakenen Beghinensciere</t>
  </si>
  <si>
    <t>Bruxsche Rood Laken</t>
  </si>
  <si>
    <t>BrVL</t>
  </si>
  <si>
    <t>buerchmeesters</t>
  </si>
  <si>
    <t>Buerchmeesters + Tresoirers</t>
  </si>
  <si>
    <t>Buerchmeesters + Tresoirers + Clerke</t>
  </si>
  <si>
    <t>Buerchmeesters + Tresoirers + Upper Clerke</t>
  </si>
  <si>
    <t>Buerchmeesters + Tresoirers + Wet + Clerke [4]</t>
  </si>
  <si>
    <t>BUG</t>
  </si>
  <si>
    <t>BUL</t>
  </si>
  <si>
    <t>burgermaster, mayor</t>
  </si>
  <si>
    <t>Buxhoren [Herring Colored] Cloth</t>
  </si>
  <si>
    <t>Buxhoren [Herring Colored] Striped Cloth</t>
  </si>
  <si>
    <t>buxhoren, buxchooren</t>
  </si>
  <si>
    <t>CaL</t>
  </si>
  <si>
    <t>Calculations</t>
  </si>
  <si>
    <t>Cambrai Cloth</t>
  </si>
  <si>
    <t>Cambrai: French bishoprice near Flanders</t>
  </si>
  <si>
    <t>Camerijxsche</t>
  </si>
  <si>
    <t>cammekins</t>
  </si>
  <si>
    <t>Cangenten Cloth</t>
  </si>
  <si>
    <t>cangenten laken</t>
  </si>
  <si>
    <t>caped servants of the magistrates</t>
  </si>
  <si>
    <t>caproene</t>
  </si>
  <si>
    <t>captain</t>
  </si>
  <si>
    <t>captains</t>
  </si>
  <si>
    <t>Captains</t>
  </si>
  <si>
    <t>CaSL</t>
  </si>
  <si>
    <t>CC</t>
  </si>
  <si>
    <t xml:space="preserve">CC </t>
  </si>
  <si>
    <t>celestrine, celestrijn</t>
  </si>
  <si>
    <t>CG</t>
  </si>
  <si>
    <t>cheap cloth of Bruges; [graeu laken gheheeten wulvekin]</t>
  </si>
  <si>
    <t>cheap, undyed worsted type cloth (given to the poor)</t>
  </si>
  <si>
    <t>city masters</t>
  </si>
  <si>
    <t>CL</t>
  </si>
  <si>
    <t>clederen; cleederinghe</t>
  </si>
  <si>
    <t>Clerke</t>
  </si>
  <si>
    <t xml:space="preserve">Clerke </t>
  </si>
  <si>
    <t>clerken</t>
  </si>
  <si>
    <t>Clerken</t>
  </si>
  <si>
    <t>Clerks</t>
  </si>
  <si>
    <t>Cloth and Description</t>
  </si>
  <si>
    <t>cloth dyed in grain (kermes); a scarlet</t>
  </si>
  <si>
    <t>Cloth is "cuerlaken"</t>
  </si>
  <si>
    <t>cloth with lustre or sheen</t>
  </si>
  <si>
    <t xml:space="preserve">cloth: herring coloured ?  De Poerck, III: 27: 'couleur hareng saur'? </t>
  </si>
  <si>
    <t>cloth: woollen broadcloth</t>
  </si>
  <si>
    <t>clothing, suits</t>
  </si>
  <si>
    <t>CmL</t>
  </si>
  <si>
    <t>Code</t>
  </si>
  <si>
    <t>Code for</t>
  </si>
  <si>
    <t>code or book of guild regulations on clothmaking</t>
  </si>
  <si>
    <t>coerode</t>
  </si>
  <si>
    <t>CoG</t>
  </si>
  <si>
    <t>CoL</t>
  </si>
  <si>
    <t>Colour</t>
  </si>
  <si>
    <t>colour of coleseed or rapeseed flowers</t>
  </si>
  <si>
    <t>Colours</t>
  </si>
  <si>
    <t>COLOURS</t>
  </si>
  <si>
    <t>Comensche Lakenen</t>
  </si>
  <si>
    <t>Comines</t>
  </si>
  <si>
    <t>Comines Blue + Red + Green Cloths</t>
  </si>
  <si>
    <t>Comines Blue Cloth</t>
  </si>
  <si>
    <t>Comines Blue Cloth + Ells</t>
  </si>
  <si>
    <t>Comines Blue Medley Cloth</t>
  </si>
  <si>
    <t>Comines Brown + Red + Blue Cloths</t>
  </si>
  <si>
    <t>Comines Brown Cloth</t>
  </si>
  <si>
    <t>Comines Cloth</t>
  </si>
  <si>
    <t>Comines Green + Red + Blue Cloths</t>
  </si>
  <si>
    <t>Comines Green Cloth</t>
  </si>
  <si>
    <t>Comines Medley Cloth</t>
  </si>
  <si>
    <t>Comines Perse Cloth</t>
  </si>
  <si>
    <t>Comines Red Cloth</t>
  </si>
  <si>
    <t>Commensche, Comensche</t>
  </si>
  <si>
    <t>Commodity</t>
  </si>
  <si>
    <t>Consumer</t>
  </si>
  <si>
    <t>coolzade</t>
  </si>
  <si>
    <t>cooplieden, kooplieden (koopman: sing.)</t>
  </si>
  <si>
    <t>coppins</t>
  </si>
  <si>
    <t>corte</t>
  </si>
  <si>
    <t>Cost of Grain</t>
  </si>
  <si>
    <t>Courtrai</t>
  </si>
  <si>
    <t>Courtrai  Medley Cloth</t>
  </si>
  <si>
    <t>Courtrai Cloth</t>
  </si>
  <si>
    <t>Courtrai Perse Cloth</t>
  </si>
  <si>
    <t>Courtrai Red Cloth</t>
  </si>
  <si>
    <t>crempene (te)</t>
  </si>
  <si>
    <t>cuerlakene; kuerlakene</t>
  </si>
  <si>
    <t>Curtrijcsche</t>
  </si>
  <si>
    <t>Daily Wage</t>
  </si>
  <si>
    <t>dark (dark-blue, dark-green, etc.)</t>
  </si>
  <si>
    <t>Dark Blue</t>
  </si>
  <si>
    <t>Dark Blue Cloth</t>
  </si>
  <si>
    <t>Dark Blue Murrey</t>
  </si>
  <si>
    <t>Dark Brown</t>
  </si>
  <si>
    <t>Dark Green</t>
  </si>
  <si>
    <t>Dark Green Medley Cloth</t>
  </si>
  <si>
    <t>Dark Grey</t>
  </si>
  <si>
    <t>Dark Grey Medley</t>
  </si>
  <si>
    <t>Dark Perse</t>
  </si>
  <si>
    <t>Days' Wages</t>
  </si>
  <si>
    <t>DD</t>
  </si>
  <si>
    <t>decimal</t>
  </si>
  <si>
    <t>Deelman Clerke</t>
  </si>
  <si>
    <t>deelmans</t>
  </si>
  <si>
    <t>Deelmans Clerke</t>
  </si>
  <si>
    <t>deep and dark: zadblauewe = very deep, dark blue</t>
  </si>
  <si>
    <t>dekens</t>
  </si>
  <si>
    <t>DeL</t>
  </si>
  <si>
    <t>Dendermonde = Termonde (East Flanders)</t>
  </si>
  <si>
    <t>Denremonde</t>
  </si>
  <si>
    <t>Description</t>
  </si>
  <si>
    <t>DeSL</t>
  </si>
  <si>
    <t>dickedinnen</t>
  </si>
  <si>
    <t>Dickedinnen</t>
  </si>
  <si>
    <t>Diesch, Diest</t>
  </si>
  <si>
    <t>Diest</t>
  </si>
  <si>
    <t>Diest (Brabant)</t>
  </si>
  <si>
    <t>Diest Blue Cloth</t>
  </si>
  <si>
    <t>Diest Cloth</t>
  </si>
  <si>
    <t>Diest Green Cloth</t>
  </si>
  <si>
    <t>Diest Striped Cloth</t>
  </si>
  <si>
    <t>Diksmuide = Dixmude (West Flanders)</t>
  </si>
  <si>
    <t>DiL</t>
  </si>
  <si>
    <t>Dixmude Cloth</t>
  </si>
  <si>
    <t>Dixmuidsche</t>
  </si>
  <si>
    <t>dobbel lakenen</t>
  </si>
  <si>
    <t>Doc.</t>
  </si>
  <si>
    <t>doctor; chief physician; or teacher of medicine</t>
  </si>
  <si>
    <t>DoL</t>
  </si>
  <si>
    <t>doncker</t>
  </si>
  <si>
    <t>Doncker Graeu Bruxsch Laken</t>
  </si>
  <si>
    <t>Doncker Graeuwe Bruxsche Lakenen</t>
  </si>
  <si>
    <t>Doncker Groene Bruxsche Laken</t>
  </si>
  <si>
    <t>Doornik = Tournai (French bishopric)</t>
  </si>
  <si>
    <t>Dornische</t>
  </si>
  <si>
    <t>Douai (France: French Flanders from 1384; now France)</t>
  </si>
  <si>
    <t>Douai Cloth</t>
  </si>
  <si>
    <t>Douawysche, Duwaysche</t>
  </si>
  <si>
    <t>double cloths: possibly a pair of halvelakenen (half-cloths)</t>
  </si>
  <si>
    <t>dukers, douken</t>
  </si>
  <si>
    <t>dullen</t>
  </si>
  <si>
    <t>dyed cloth.</t>
  </si>
  <si>
    <t xml:space="preserve">dyed cloth. De Poerck, III, 154: 'drap de teinte non autrement connu' </t>
  </si>
  <si>
    <t>dyed in grain (i.e. in kermes = scarlet dye)</t>
  </si>
  <si>
    <t>Dyed in Madder</t>
  </si>
  <si>
    <t>dyed with an alum mordant; usually a red-based dye</t>
  </si>
  <si>
    <t>Dyeing</t>
  </si>
  <si>
    <t>Dyeing/</t>
  </si>
  <si>
    <t>Easter Cloth</t>
  </si>
  <si>
    <t>Eecxkins; Heexschins</t>
  </si>
  <si>
    <t>Eeke (NW Flanders, near Ghent): cheap cloths from</t>
  </si>
  <si>
    <t>Eekeloos</t>
  </si>
  <si>
    <t>Eeklo (NW Flanders, near Bruges)</t>
  </si>
  <si>
    <t>Eeklo Cloth</t>
  </si>
  <si>
    <t>EeL</t>
  </si>
  <si>
    <t>eeuwerlinghe</t>
  </si>
  <si>
    <t>EL</t>
  </si>
  <si>
    <t>ell = 0.700 metre</t>
  </si>
  <si>
    <t>elnen</t>
  </si>
  <si>
    <t>eternal = heavenly blue</t>
  </si>
  <si>
    <t>Exchange Rate</t>
  </si>
  <si>
    <t>Explanations and translations</t>
  </si>
  <si>
    <t>Fauquemont</t>
  </si>
  <si>
    <t>Fauquemont Cloth</t>
  </si>
  <si>
    <t>Fine Blaeu Bruxsch Laken ghecrompen</t>
  </si>
  <si>
    <t>Fine Brune Bruxsche Laken</t>
  </si>
  <si>
    <t>Fine Brune Bruxsche Lakenen ghecrompen</t>
  </si>
  <si>
    <t>Fine Brune Gheminghede Bruxsch Lakene</t>
  </si>
  <si>
    <t>Fine Brune Graeuwe Bruxsche Laken ghecrompen</t>
  </si>
  <si>
    <t>Fine Bruxsche Gheminghede Serpentine Lakene ghecrompen</t>
  </si>
  <si>
    <t>Fine Bruxsche Groene Lakenen ghecrompen</t>
  </si>
  <si>
    <t>Fine Doncker Groene Ghemingde Bruxsche Laken ghecrompen</t>
  </si>
  <si>
    <t>Fine Doncker Groene Gheminghede Bruxsche Laken</t>
  </si>
  <si>
    <t>Fine Gheminghede Graeuwe Parker Bloesseme Lakenene ghecrompen</t>
  </si>
  <si>
    <t>Fine Gheminghede Groene Scaelgewade</t>
  </si>
  <si>
    <t>Fine Graeu Gheminghet Bruxsch</t>
  </si>
  <si>
    <t>Fine Graeuwe Bruxsche Laken</t>
  </si>
  <si>
    <t>Fine Graeuwe Bruxsche Lakenen</t>
  </si>
  <si>
    <t>Fine Graeuwe Gheminghede Bruxsche Laken ghecrompen</t>
  </si>
  <si>
    <t>Fine Graeuwe Gheminghede Bruxsche Lakene</t>
  </si>
  <si>
    <t>Fine Green Cloth?</t>
  </si>
  <si>
    <t>Fine Grey Perse Medley Cloth shrunk</t>
  </si>
  <si>
    <t>Fine Groene Bruxsche Lakenen ghecrompen</t>
  </si>
  <si>
    <t>Fine Groene Gheminghede Bruxsche Lakenen ghecrompen</t>
  </si>
  <si>
    <t>Fine Persche Scaerlakene ghecrompen</t>
  </si>
  <si>
    <t>Fine Perse Scarlet Cloth shrunk</t>
  </si>
  <si>
    <t>fine quality woollen cloth, sealed with insignia of bells: popular in mid to late 15th century Low Countries</t>
  </si>
  <si>
    <t>Fine Roode Bruxsce Lakenen</t>
  </si>
  <si>
    <t>Fine Roode Ypersche Scaerlakene</t>
  </si>
  <si>
    <t>Fine White Apple Blossom Cloth shrunk</t>
  </si>
  <si>
    <t>Fine White Bruges Cloth for lining unshrunken</t>
  </si>
  <si>
    <t>Fine White Cloth</t>
  </si>
  <si>
    <t>Fine White Cloth unshrunken</t>
  </si>
  <si>
    <t>Fine Witte Appel Bloesesmen Laken ghecrompen</t>
  </si>
  <si>
    <t>Fine Witte Appelbloeseme Brugsche Laken ghecrompen</t>
  </si>
  <si>
    <t>Fine Witte Bruxsche Lakene</t>
  </si>
  <si>
    <t>Fine Witte Bruxsche Lakene onghecrompen</t>
  </si>
  <si>
    <t>Fine Witte Bruxsche Lakenen onghecrompen</t>
  </si>
  <si>
    <t>Fine Witte Bruxsche Lakenen onghecrompen voederinghe</t>
  </si>
  <si>
    <t>Fine Witte Lakene onghecrompen</t>
  </si>
  <si>
    <t>Fine Witte Lakenen onghecrompen</t>
  </si>
  <si>
    <t>Fine Ypersche Groene Laken</t>
  </si>
  <si>
    <t>finished (bereden)</t>
  </si>
  <si>
    <t>Finishing</t>
  </si>
  <si>
    <t>five wools: perhaps a mixture of five types of wools, or coloured wools</t>
  </si>
  <si>
    <t>FL</t>
  </si>
  <si>
    <t>Flemish gold coin, with insignia of the lamb (of God)</t>
  </si>
  <si>
    <t>Flemish Price Index</t>
  </si>
  <si>
    <t>Folio/</t>
  </si>
  <si>
    <t>from Zeeland (Zealand): cheap cloths</t>
  </si>
  <si>
    <t>fulled and scoured cloth? shorn cloth?</t>
  </si>
  <si>
    <t>fullers</t>
  </si>
  <si>
    <t>G</t>
  </si>
  <si>
    <t>G1</t>
  </si>
  <si>
    <t>G1 + R1 + B1</t>
  </si>
  <si>
    <t>G1 + W</t>
  </si>
  <si>
    <t>G1?</t>
  </si>
  <si>
    <t>G1L</t>
  </si>
  <si>
    <t>G1LM</t>
  </si>
  <si>
    <t>G1M</t>
  </si>
  <si>
    <t>G1SL</t>
  </si>
  <si>
    <t>G1Z</t>
  </si>
  <si>
    <t>G1ZM</t>
  </si>
  <si>
    <t>G2</t>
  </si>
  <si>
    <t>G2L</t>
  </si>
  <si>
    <t>G2LM</t>
  </si>
  <si>
    <t>G2M</t>
  </si>
  <si>
    <t>G2Z</t>
  </si>
  <si>
    <t>G2ZM</t>
  </si>
  <si>
    <t>G3</t>
  </si>
  <si>
    <t>Garsoene</t>
  </si>
  <si>
    <t>Garsoene + 3 Wachters + 2 Wachters + W[eavers] + F[ullers]</t>
  </si>
  <si>
    <t>garsoene, garchoene</t>
  </si>
  <si>
    <t>Garsoenen</t>
  </si>
  <si>
    <t>Gent = Gand = Ghent (East Flanders)</t>
  </si>
  <si>
    <t>gharoffelin, gerofelin, garosseline</t>
  </si>
  <si>
    <t>ghebelde</t>
  </si>
  <si>
    <t>gheboste</t>
  </si>
  <si>
    <t>ghecommitteirde</t>
  </si>
  <si>
    <t>ghecrompen</t>
  </si>
  <si>
    <t>ghegreinden, met greinen</t>
  </si>
  <si>
    <t>gheleids</t>
  </si>
  <si>
    <t>ghelewe, gheel, gheleuwe</t>
  </si>
  <si>
    <t>gheloyde</t>
  </si>
  <si>
    <t>ghemeet</t>
  </si>
  <si>
    <t>Ghemijnghede</t>
  </si>
  <si>
    <t xml:space="preserve">Gheminghede Brugsche Laken </t>
  </si>
  <si>
    <t>Gheminghede Brusche Lakenen</t>
  </si>
  <si>
    <t>Gheminghede Bruxsche Laken</t>
  </si>
  <si>
    <t>Gheminghede Bruxsche Lakenen</t>
  </si>
  <si>
    <t>ghemingheden, ghemijnghede, gemingd</t>
  </si>
  <si>
    <t>Gheminghet Fiin Bruxsch Laken</t>
  </si>
  <si>
    <t>Ghent Cloth</t>
  </si>
  <si>
    <t>Ghent Cloth Price Symbols</t>
  </si>
  <si>
    <t>Ghent Medley Cloth</t>
  </si>
  <si>
    <t xml:space="preserve">Ghent Shiny [Cangenten] Cloth </t>
  </si>
  <si>
    <t xml:space="preserve">Ghent Shiny [Cangenten] Striped Cloth </t>
  </si>
  <si>
    <t>Ghent Striped Cloth</t>
  </si>
  <si>
    <t>Ghent Striped Medley Cloth</t>
  </si>
  <si>
    <t>Ghentsche</t>
  </si>
  <si>
    <t>ghereden</t>
  </si>
  <si>
    <t>ghescoren</t>
  </si>
  <si>
    <t>ghetanneit, ghetanneirt, tanneit</t>
  </si>
  <si>
    <t>ghetragelden, ghetrailiede</t>
  </si>
  <si>
    <t>ghevarewden</t>
  </si>
  <si>
    <t>Ghistelsaie</t>
  </si>
  <si>
    <t>GhS</t>
  </si>
  <si>
    <t>Gilly Flower Bloom</t>
  </si>
  <si>
    <t>gilly-flower bloom, colour of [nagelbloem]</t>
  </si>
  <si>
    <t>Gistel = Ghistelles (NW Flanders)</t>
  </si>
  <si>
    <t>Gistel, Ghistel</t>
  </si>
  <si>
    <t>gold coin</t>
  </si>
  <si>
    <t>gold coin (Flemish)</t>
  </si>
  <si>
    <t>Gold Coins</t>
  </si>
  <si>
    <t>gold coins struck in Brabant</t>
  </si>
  <si>
    <t>Golden Blossom [Dark Yellow]</t>
  </si>
  <si>
    <t>golden blossom; deep yellow colour</t>
  </si>
  <si>
    <t>Gordijne</t>
  </si>
  <si>
    <t>Gordijnen</t>
  </si>
  <si>
    <t>goud</t>
  </si>
  <si>
    <t>goudbloemine</t>
  </si>
  <si>
    <t>gourdijns, gordijns</t>
  </si>
  <si>
    <t>Graeu Brugsche Laken</t>
  </si>
  <si>
    <t>Graeuwe Bruxsch Laken</t>
  </si>
  <si>
    <t>Graeuwe Bruxsche Laken</t>
  </si>
  <si>
    <t>grawe, grauwe</t>
  </si>
  <si>
    <t>green</t>
  </si>
  <si>
    <t>Green</t>
  </si>
  <si>
    <t>Green Medley Cloth</t>
  </si>
  <si>
    <t>Green Striped Cloth</t>
  </si>
  <si>
    <t>grey</t>
  </si>
  <si>
    <t>Grey</t>
  </si>
  <si>
    <t>Grey Medley</t>
  </si>
  <si>
    <t>grey-brown colour; natural wool colour</t>
  </si>
  <si>
    <t>Groen Breet Roeselaers Lakin</t>
  </si>
  <si>
    <t>Groen Bruxsche Lakenen</t>
  </si>
  <si>
    <t>Groen Comensch Laken</t>
  </si>
  <si>
    <t>Groen Gheminghet Bruxsch Laken</t>
  </si>
  <si>
    <t>Groen Minxsel Bruxsch Laken</t>
  </si>
  <si>
    <t>Groen Wervixsche Laken</t>
  </si>
  <si>
    <t>Groen Zichensch Laken</t>
  </si>
  <si>
    <t>Groene + Rood + Blaeu Comensche Lakenen</t>
  </si>
  <si>
    <t>Groene + Witte Brugsche Laken</t>
  </si>
  <si>
    <t>Groene + Witte Bruxsche Cuerlakenen</t>
  </si>
  <si>
    <t>Groene Brugsche Lakine</t>
  </si>
  <si>
    <t>Groene Bruxsche Lakene</t>
  </si>
  <si>
    <t>Groene Bruxsche Lakene + 22.5 ells</t>
  </si>
  <si>
    <t>Groene Bruxsche Lakenen</t>
  </si>
  <si>
    <t>Groene Comensche Laken</t>
  </si>
  <si>
    <t>Groene Comensche Lakenen</t>
  </si>
  <si>
    <t>Groene Dietsche Lakenen</t>
  </si>
  <si>
    <t>groene, gruenen</t>
  </si>
  <si>
    <t>Groote [Groone?] Bruxsche Lakenen</t>
  </si>
  <si>
    <t>GSL</t>
  </si>
  <si>
    <t>GtCaL</t>
  </si>
  <si>
    <t>GtCaSL</t>
  </si>
  <si>
    <t>GtG</t>
  </si>
  <si>
    <t>GtGSL</t>
  </si>
  <si>
    <t>GtL</t>
  </si>
  <si>
    <t>GtSL</t>
  </si>
  <si>
    <t>Guardians of the Cloth-hall (watchmen)</t>
  </si>
  <si>
    <t>Guild Deans</t>
  </si>
  <si>
    <t>guild deans (guild leaders)</t>
  </si>
  <si>
    <t>H</t>
  </si>
  <si>
    <t>Halewijnsche</t>
  </si>
  <si>
    <t>half: half-cloth, woollen with about one-half the standard lenght; normal size for strijpte laken</t>
  </si>
  <si>
    <t>halle wachters</t>
  </si>
  <si>
    <t>Halluin (SW Flanders: now in France)</t>
  </si>
  <si>
    <t>Halluin Cloth</t>
  </si>
  <si>
    <t>Halluin Medley Cloth</t>
  </si>
  <si>
    <t>halve</t>
  </si>
  <si>
    <t>Heavenly Blue</t>
  </si>
  <si>
    <t>Heavenly Blue Scarlet</t>
  </si>
  <si>
    <t>Heavenly Blue Scarlet Cloth</t>
  </si>
  <si>
    <t>Hermantiersche</t>
  </si>
  <si>
    <t>Hesdin (SW Flanders: now in France)</t>
  </si>
  <si>
    <t>Hesdins; Hesdynsche</t>
  </si>
  <si>
    <t>HG</t>
  </si>
  <si>
    <t>hijsgraeuwe, ijse grauew</t>
  </si>
  <si>
    <t>HL</t>
  </si>
  <si>
    <t>Hoftmannen</t>
  </si>
  <si>
    <t>hooftmannen</t>
  </si>
  <si>
    <t>Houdenaerdsche</t>
  </si>
  <si>
    <t>houdermanne</t>
  </si>
  <si>
    <t xml:space="preserve">house, office, </t>
  </si>
  <si>
    <t>HSL</t>
  </si>
  <si>
    <t>ice grey</t>
  </si>
  <si>
    <t>Ieper = Ypres (SW Flanders)</t>
  </si>
  <si>
    <t>in d groot Fl.</t>
  </si>
  <si>
    <t>in d. groot</t>
  </si>
  <si>
    <t>in Livres</t>
  </si>
  <si>
    <t>In Livres Parisis</t>
  </si>
  <si>
    <t>in s. parisis</t>
  </si>
  <si>
    <t>inspectors (finders)</t>
  </si>
  <si>
    <t>inspectors of the cloths sealed on the tentering frames</t>
  </si>
  <si>
    <t>Jusstichie</t>
  </si>
  <si>
    <t>justices</t>
  </si>
  <si>
    <t>Justices</t>
  </si>
  <si>
    <t>justichie</t>
  </si>
  <si>
    <t>keure</t>
  </si>
  <si>
    <t>klerken = clerks or secretaries of the council</t>
  </si>
  <si>
    <t>knapen, cnapen</t>
  </si>
  <si>
    <t>knights; horsemen</t>
  </si>
  <si>
    <t>Komen (Comen) = Comines (SW Flanders: now in France)</t>
  </si>
  <si>
    <t>Kortrijk</t>
  </si>
  <si>
    <t>Kortrijk = Courtrai (SW Flanders)</t>
  </si>
  <si>
    <t>laken</t>
  </si>
  <si>
    <t>lakenen metter ff</t>
  </si>
  <si>
    <t>lammekins</t>
  </si>
  <si>
    <t>lancxen</t>
  </si>
  <si>
    <t>lang = long; length</t>
  </si>
  <si>
    <t>legal officials who collect debts</t>
  </si>
  <si>
    <t>Leiden</t>
  </si>
  <si>
    <t>Leids</t>
  </si>
  <si>
    <t>LeL</t>
  </si>
  <si>
    <t>Leyden Cloth</t>
  </si>
  <si>
    <t>Licht Groen Bruxsch Laken</t>
  </si>
  <si>
    <t>lichte</t>
  </si>
  <si>
    <t>Lichte Blaeuwe Turkin Bruxsche Laken</t>
  </si>
  <si>
    <t>Lichte Graeuwe Bruxsche Laken</t>
  </si>
  <si>
    <t>Lichte Groene Bruxsche Laken + Ells</t>
  </si>
  <si>
    <t>lieden</t>
  </si>
  <si>
    <t>Lier = Lierre (Brabant, near Antwerp)</t>
  </si>
  <si>
    <t>Lier Cloth</t>
  </si>
  <si>
    <t>Liersche</t>
  </si>
  <si>
    <t>Light Blue</t>
  </si>
  <si>
    <t>Light Brown</t>
  </si>
  <si>
    <t>light brown, tan-coloured, tawny, faun-coloured</t>
  </si>
  <si>
    <t xml:space="preserve">Light Green </t>
  </si>
  <si>
    <t>Light Green Medley Cloth</t>
  </si>
  <si>
    <t>light green; leek-coloured</t>
  </si>
  <si>
    <t>Light Grey</t>
  </si>
  <si>
    <t>Light Grey Medley</t>
  </si>
  <si>
    <t>Light Medley</t>
  </si>
  <si>
    <t>Light Sanguine</t>
  </si>
  <si>
    <t>Light Tan</t>
  </si>
  <si>
    <t>Light Turkish Blue</t>
  </si>
  <si>
    <t>light; lichtblauwe = light blue</t>
  </si>
  <si>
    <t>LiL</t>
  </si>
  <si>
    <t>Lille Cloth</t>
  </si>
  <si>
    <t>lining or interior facing of a cloak or a suit</t>
  </si>
  <si>
    <t>Linselles</t>
  </si>
  <si>
    <t>Linselles (SW Flanders; now in NW France: Artois)</t>
  </si>
  <si>
    <t>Linselles Cloth</t>
  </si>
  <si>
    <t>literally: "thick and thin", with alternating warps of differing thickness: speciality broadcloth of Ghent</t>
  </si>
  <si>
    <t>literally: the hooded or caped men; military servants</t>
  </si>
  <si>
    <t>livres parisis</t>
  </si>
  <si>
    <t>Livres Parisis</t>
  </si>
  <si>
    <t>LL</t>
  </si>
  <si>
    <t>LnL</t>
  </si>
  <si>
    <t>Lower</t>
  </si>
  <si>
    <t>Lower Clerke</t>
  </si>
  <si>
    <t>M</t>
  </si>
  <si>
    <t>M1451-75=100</t>
  </si>
  <si>
    <t>MA</t>
  </si>
  <si>
    <t>Macheline, Machelinsche</t>
  </si>
  <si>
    <t>maenres</t>
  </si>
  <si>
    <t>magistrates, aldermen</t>
  </si>
  <si>
    <t>Manufacture</t>
  </si>
  <si>
    <t>Mason/Carp</t>
  </si>
  <si>
    <t>May</t>
  </si>
  <si>
    <t>MBM</t>
  </si>
  <si>
    <t>Mechelen = Malines = Mechlin (Flemish seigneurie within the duchy of Brabant, betw. Brussels-Antwerp)</t>
  </si>
  <si>
    <t>Mechelen Cloth</t>
  </si>
  <si>
    <t>Mechelen Medley Cloth</t>
  </si>
  <si>
    <t>medecijn</t>
  </si>
  <si>
    <t>Medlar Bloom Medley</t>
  </si>
  <si>
    <t>Medley</t>
  </si>
  <si>
    <t>Medley [Ghemijnghede] Striped Cloth</t>
  </si>
  <si>
    <t>medley cloth: cloth woven from wools of different colours</t>
  </si>
  <si>
    <t>meedene (te)</t>
  </si>
  <si>
    <t>Meesinmaerct</t>
  </si>
  <si>
    <t>MeG</t>
  </si>
  <si>
    <t>MeL</t>
  </si>
  <si>
    <t>Meneenisch; Meenijnsche</t>
  </si>
  <si>
    <t>Menen = Menin (SW Flanders)</t>
  </si>
  <si>
    <t>Menin Cloth</t>
  </si>
  <si>
    <t>Menin Medley Cloth</t>
  </si>
  <si>
    <t>merchants</t>
  </si>
  <si>
    <t>Mesen = Messines (SW Flanders)</t>
  </si>
  <si>
    <t>Messensche</t>
  </si>
  <si>
    <t>metenen (te)</t>
  </si>
  <si>
    <t>MG</t>
  </si>
  <si>
    <t>mid: e.g. middel groen: mid-green, neither dark nor light</t>
  </si>
  <si>
    <t>middel</t>
  </si>
  <si>
    <t>Militia:</t>
  </si>
  <si>
    <t>mincsele, minxsel, minsele</t>
  </si>
  <si>
    <t>ministruelen</t>
  </si>
  <si>
    <t>minstrels, musicians</t>
  </si>
  <si>
    <t>mispelboem: medlar bloom  [OED: 'a rosaceous tree, bearing small brown apple-like fruits'</t>
  </si>
  <si>
    <t>mispelchien</t>
  </si>
  <si>
    <t>Mispelschier Gheminghet Wervix Lakenen</t>
  </si>
  <si>
    <t>ML</t>
  </si>
  <si>
    <t>MoL</t>
  </si>
  <si>
    <t>Monetary Terms</t>
  </si>
  <si>
    <t>Monstruelsche</t>
  </si>
  <si>
    <t>Month</t>
  </si>
  <si>
    <t>Montivilliers (France: duchy of Normandy)</t>
  </si>
  <si>
    <t>Montivilliers Cloth</t>
  </si>
  <si>
    <t>Montreuil</t>
  </si>
  <si>
    <t>Montreuil (France: county of Artois)</t>
  </si>
  <si>
    <t>Montreuil Cloth</t>
  </si>
  <si>
    <t>moreide, moreit, moreyde</t>
  </si>
  <si>
    <t>Mostiervilersche</t>
  </si>
  <si>
    <t>mottoen, mouton</t>
  </si>
  <si>
    <t>MSC</t>
  </si>
  <si>
    <t>Muenekereede</t>
  </si>
  <si>
    <t>MuL</t>
  </si>
  <si>
    <t>Munikerede (NW Flanders)</t>
  </si>
  <si>
    <t>murrey = mulberry, or light to medium purple</t>
  </si>
  <si>
    <t>N</t>
  </si>
  <si>
    <t>N.B  Dimensions of cloth given as 33 ells x 8.5 qrts ghecrompen.</t>
  </si>
  <si>
    <t>N.B Cuerlaken</t>
  </si>
  <si>
    <t>N.B Cuerlaken dim[ensions]</t>
  </si>
  <si>
    <t>N.B.  Cloth is "cuerlaken"</t>
  </si>
  <si>
    <t>N.B.  Cloth is "Ypres Cuer[laken]"</t>
  </si>
  <si>
    <t>N.B.  Cuerlakene.  Scutters = Crossbowmen</t>
  </si>
  <si>
    <t>N.B. "Y.K"</t>
  </si>
  <si>
    <t>N.B. "Ypres heure dimensions"</t>
  </si>
  <si>
    <t>N.B. 11 cloths for Wet + Buerchmeesters + 3.5 cloths for Clerke</t>
  </si>
  <si>
    <t>N.B. 11 cloths for Wet + Buerchmeesters + 3.5 cloths for Clerke.  Dimensions of cloth given as 33 ells x 8.5 qtrs ghecrompen from which p/ell determined.</t>
  </si>
  <si>
    <t>N.B. 3 cloths total 87 ells in length.  First mention of Fauquemont cloth</t>
  </si>
  <si>
    <t>N.B. 5 additional cloths from above entry for Upper Clerke.  Dimensions of cloth given as 33 ells x 9 qtrs ghecrompen which allows p/ell to be determined.</t>
  </si>
  <si>
    <t>N.B. 50 cloths usually split evenly between 2 colours.</t>
  </si>
  <si>
    <t>N.B. Cloth color given as "sciergraeuwe lakenen = bruun lakene"</t>
  </si>
  <si>
    <t>N.B. Color described as "garsgroene"</t>
  </si>
  <si>
    <t>N.B. Colors of cloth and recipients undifferentiated.</t>
  </si>
  <si>
    <t>N.B. Colors of cloths and recipients undifferentiated.</t>
  </si>
  <si>
    <t>N.B. Cuerlaken</t>
  </si>
  <si>
    <t>N.B. Cuerlaken dim[ensions].</t>
  </si>
  <si>
    <t>N.B. Cuerlakene</t>
  </si>
  <si>
    <t>N.B. Dimensions given as 33 ells x 9 qtrs ghecrompen from which p/ell calculated.</t>
  </si>
  <si>
    <t>N.B. Dimensions given as 33 ells x 9 qtrs. ghecrompen from p/ell calculated.</t>
  </si>
  <si>
    <t>N.B. Dimensions given as 33 ells x 9 qtrs. ghecrompen from p/ell calculated.  New Color.</t>
  </si>
  <si>
    <t>N.B. Dimensions given as 33 ells x 9 qtrs. ghecrompen from which p/ell determined.</t>
  </si>
  <si>
    <t>N.B. Dimensions given as 33 ells x 9 qtrs. ghecrompen which allows p/ell to be calculated.</t>
  </si>
  <si>
    <t>N.B. Dimensions given as 36 ells x 9 qrts onghecrompen from which p/ell determined.</t>
  </si>
  <si>
    <t>N.B. Dimensions given as 36 ells x 9 qtrs. ghecrompen which allows p/ell to be calculated.</t>
  </si>
  <si>
    <t>N.B. Dimensions given as 36 ells x 9 qtrs. onghecrompen from which p/ell calculated.</t>
  </si>
  <si>
    <t>N.B. Dimensions of cloth given as 33 ells x 9 qtrs. ghecrompen which allows p/ell to be calculated.</t>
  </si>
  <si>
    <t>N.B. Dimensions of cloth given as 33 ells x 9qtrs. which allows p/ell to be calculated. Scaelgewade unknown</t>
  </si>
  <si>
    <t>N.B. Dimensions of cloth given as 36 ells x 10 qtrs. onghecrompen from which p/ell determined</t>
  </si>
  <si>
    <t>N.B. Dimensions of cloth given as 36 ells x 9 qtrs onghecrompen.</t>
  </si>
  <si>
    <t>N.B. Dimensions of cloth given as 36 ells x 9 qtrs. onghecrompen which allows p/ell to be calculated.</t>
  </si>
  <si>
    <t>N.B. Entry created from above notation.  Type of cloth + P/p assumed to be identical.</t>
  </si>
  <si>
    <t>N.B. Entry notes that 5 cloths also purchased for "clerken" in addition to 11 noted but no p/p for cloths for "clerken" given.</t>
  </si>
  <si>
    <t>N.B. Entry notes that 5 cloths also purchased for "clerken" in addition to 11 noted for Buerchmeesters + Tresoirers.  In brackets "by Ypres keur".</t>
  </si>
  <si>
    <t>N.B. New Color</t>
  </si>
  <si>
    <t>N.B. New Colour.  "B.K." in brackets.</t>
  </si>
  <si>
    <t>N.B. New Town.   The following entries repeated on the same page.  Only entered once.</t>
  </si>
  <si>
    <t>N.B. No # of ells stated.</t>
  </si>
  <si>
    <t>N.B. No cloths for October from this source.</t>
  </si>
  <si>
    <t>N.B. No data for October from this source.</t>
  </si>
  <si>
    <t>N.B. No data from October from this file.</t>
  </si>
  <si>
    <t>N.B. No entries for October from this file.</t>
  </si>
  <si>
    <t>N.B. Query whether "groote" or "groone"</t>
  </si>
  <si>
    <t>N.B. This and following entry described as "jeghen zeghelen de neuiwe lakenen" + cuerlakene</t>
  </si>
  <si>
    <t>N.B. Unclear as to number of cloths of each type.</t>
  </si>
  <si>
    <t>N.B. Unclear whether 1 or 1/2 cloth from entry.</t>
  </si>
  <si>
    <t>N.B. Usually divided evenly between two types of cloth, 25 of each.</t>
  </si>
  <si>
    <t>N.B. Usually split evenly between 2 types of cloth (i.e. 25 of each).</t>
  </si>
  <si>
    <t>Name</t>
  </si>
  <si>
    <t>narrow (and not "small"): woven on a single rather than a broadloom</t>
  </si>
  <si>
    <t>Natural  Wool Color [Schiere]</t>
  </si>
  <si>
    <t>Natural Wool Color [Schiere = Grey Brown] Medley</t>
  </si>
  <si>
    <t>NEL</t>
  </si>
  <si>
    <t>Neuve Eglise</t>
  </si>
  <si>
    <t>Neuve Eglise Blue Cloth</t>
  </si>
  <si>
    <t>Neuve Eglise Cloth</t>
  </si>
  <si>
    <t>Neuve Eglise Red [Small?] Cloth</t>
  </si>
  <si>
    <t>Neuve Eglise Red Cloth</t>
  </si>
  <si>
    <t>Niepkerk = Nieppe (SW Flanders: now in France)</t>
  </si>
  <si>
    <t>Nieukercsche</t>
  </si>
  <si>
    <t>Nieuwkerk = Neuve Eglise (SW Flanders)</t>
  </si>
  <si>
    <t>Nipkersche</t>
  </si>
  <si>
    <t>NM</t>
  </si>
  <si>
    <t>No number of ells given.</t>
  </si>
  <si>
    <t>No.</t>
  </si>
  <si>
    <t>No. Ells</t>
  </si>
  <si>
    <t xml:space="preserve">No. of </t>
  </si>
  <si>
    <t>not yet subjected to shriking after tentering; unshrunken</t>
  </si>
  <si>
    <t>Notes</t>
  </si>
  <si>
    <t>Number</t>
  </si>
  <si>
    <t>O</t>
  </si>
  <si>
    <t>October</t>
  </si>
  <si>
    <t>October/Bamesse</t>
  </si>
  <si>
    <t>of CB</t>
  </si>
  <si>
    <t>of Cloth in</t>
  </si>
  <si>
    <t>of Cloths</t>
  </si>
  <si>
    <t>of Ells</t>
  </si>
  <si>
    <t>of Gold Coin</t>
  </si>
  <si>
    <t>of Gold Coins</t>
  </si>
  <si>
    <t>of Grain</t>
  </si>
  <si>
    <t xml:space="preserve">of Grain </t>
  </si>
  <si>
    <t>of the Cloth</t>
  </si>
  <si>
    <t>Officials and  Persons</t>
  </si>
  <si>
    <t>OG</t>
  </si>
  <si>
    <t>OL</t>
  </si>
  <si>
    <t>One Cloth</t>
  </si>
  <si>
    <t>onghecrompen</t>
  </si>
  <si>
    <t>Orange</t>
  </si>
  <si>
    <t xml:space="preserve">orange </t>
  </si>
  <si>
    <t>Other Fin</t>
  </si>
  <si>
    <t>Others</t>
  </si>
  <si>
    <t>Oudenaarde Cloth</t>
  </si>
  <si>
    <t>Oudenaarde Medley Cloth</t>
  </si>
  <si>
    <t>Oudenaarde= Audenaerde (East Flanders)</t>
  </si>
  <si>
    <t>Oudenaerdsch</t>
  </si>
  <si>
    <t>P</t>
  </si>
  <si>
    <t>P/piece</t>
  </si>
  <si>
    <t>paensvederin</t>
  </si>
  <si>
    <t>paer</t>
  </si>
  <si>
    <t>Page</t>
  </si>
  <si>
    <t>pair (of cloths)</t>
  </si>
  <si>
    <t>Parisis</t>
  </si>
  <si>
    <t>PE</t>
  </si>
  <si>
    <t>Peacock</t>
  </si>
  <si>
    <t>peacock coloured; multi-coloured with blues, etc.</t>
  </si>
  <si>
    <t>PEB2</t>
  </si>
  <si>
    <t>PEB2MA</t>
  </si>
  <si>
    <t>PEB2SC</t>
  </si>
  <si>
    <t>PEB2SLSC</t>
  </si>
  <si>
    <t>PEG2M</t>
  </si>
  <si>
    <t>Pence</t>
  </si>
  <si>
    <t>pensionarisen</t>
  </si>
  <si>
    <t>pensioners: former, retired civic magistrates living on pensions</t>
  </si>
  <si>
    <t>people: also used to form the plural (e.g. koopman, kooplieden)</t>
  </si>
  <si>
    <t>pepercocke</t>
  </si>
  <si>
    <t>per Cloth</t>
  </si>
  <si>
    <t>per Ell</t>
  </si>
  <si>
    <t>perkers bloesome; parkerbloesseme</t>
  </si>
  <si>
    <t>Persch Cortrixsche Lakenen</t>
  </si>
  <si>
    <t>Persche Bruxsche Cuerlaken</t>
  </si>
  <si>
    <t>Persche Bruxsche Lakenen</t>
  </si>
  <si>
    <t>Persche Buxsche [sic] Lakenen</t>
  </si>
  <si>
    <t>Persche Comensche Lakene</t>
  </si>
  <si>
    <t>Persche Comensche Lakine</t>
  </si>
  <si>
    <t>Perse</t>
  </si>
  <si>
    <t>perse = purple or mauve</t>
  </si>
  <si>
    <t>Perse Blue</t>
  </si>
  <si>
    <t xml:space="preserve">Perse Blue Scarlet </t>
  </si>
  <si>
    <t>Perse Brown</t>
  </si>
  <si>
    <t>Perse Brown dyed in Madder</t>
  </si>
  <si>
    <t>Perse Brown Scarlet</t>
  </si>
  <si>
    <t>Perse Brown Striped Scarlet</t>
  </si>
  <si>
    <t>Perse Grey Medley</t>
  </si>
  <si>
    <t>Perse Scarlet</t>
  </si>
  <si>
    <t>perse, peersche, peerce</t>
  </si>
  <si>
    <t>perse-coloured or colour of some flower</t>
  </si>
  <si>
    <t>PESC</t>
  </si>
  <si>
    <t>PEZ</t>
  </si>
  <si>
    <t xml:space="preserve">Piece in </t>
  </si>
  <si>
    <t>piece of cloth (cheap cloth)</t>
  </si>
  <si>
    <t>pieces of cheap cloth</t>
  </si>
  <si>
    <t>pieter</t>
  </si>
  <si>
    <t>pijnappele</t>
  </si>
  <si>
    <t>pineapple</t>
  </si>
  <si>
    <t>PL</t>
  </si>
  <si>
    <t>Place Names</t>
  </si>
  <si>
    <t>Place of</t>
  </si>
  <si>
    <t>Plain [Plein, Pleyn]</t>
  </si>
  <si>
    <t>plain: of one colour only (i.e. not striped or medley)</t>
  </si>
  <si>
    <t>pleine</t>
  </si>
  <si>
    <t>policemen</t>
  </si>
  <si>
    <t>Policemen:</t>
  </si>
  <si>
    <t>pond groot</t>
  </si>
  <si>
    <t>ponden groot</t>
  </si>
  <si>
    <t>poreide</t>
  </si>
  <si>
    <t>possibly: shorn cloth</t>
  </si>
  <si>
    <t>Pounds</t>
  </si>
  <si>
    <t xml:space="preserve">Pounds </t>
  </si>
  <si>
    <t>PP</t>
  </si>
  <si>
    <t>Price</t>
  </si>
  <si>
    <t>Price in</t>
  </si>
  <si>
    <t>Price of Piece</t>
  </si>
  <si>
    <t>Price per</t>
  </si>
  <si>
    <t>Price per Ell</t>
  </si>
  <si>
    <t>priesters</t>
  </si>
  <si>
    <t>prison warden</t>
  </si>
  <si>
    <t>Procurien</t>
  </si>
  <si>
    <t>Purple</t>
  </si>
  <si>
    <t>Query does "B?" stand for Bruges.</t>
  </si>
  <si>
    <t>Query re: Dimensions given as 36 ells x 9 qtrs. onghecrompen from p/ell calculated are correct.</t>
  </si>
  <si>
    <t>Query re: large cloth?  New Town.</t>
  </si>
  <si>
    <t>Query re: small cloth?</t>
  </si>
  <si>
    <t>R1</t>
  </si>
  <si>
    <t>R1 + W</t>
  </si>
  <si>
    <t>R1M</t>
  </si>
  <si>
    <t>R1MSC</t>
  </si>
  <si>
    <t>R1O</t>
  </si>
  <si>
    <t>R1S</t>
  </si>
  <si>
    <t>R1SC</t>
  </si>
  <si>
    <t>R1SL</t>
  </si>
  <si>
    <t>R1V</t>
  </si>
  <si>
    <t>R2</t>
  </si>
  <si>
    <t>R2SC</t>
  </si>
  <si>
    <t>R2SL</t>
  </si>
  <si>
    <t>R3</t>
  </si>
  <si>
    <t>R3L</t>
  </si>
  <si>
    <t>R3SC</t>
  </si>
  <si>
    <t>raad = council</t>
  </si>
  <si>
    <t>raed</t>
  </si>
  <si>
    <t>raemvinders</t>
  </si>
  <si>
    <t>ramene (te)</t>
  </si>
  <si>
    <t>Rapeseed or Coleseed Blue</t>
  </si>
  <si>
    <t>Recipient</t>
  </si>
  <si>
    <t>red</t>
  </si>
  <si>
    <t>Red</t>
  </si>
  <si>
    <t xml:space="preserve">Red Ash Colored [Sandreyen] </t>
  </si>
  <si>
    <t>Red Cloth [Bruges?]</t>
  </si>
  <si>
    <t>Red Medley</t>
  </si>
  <si>
    <t xml:space="preserve">Red Orange </t>
  </si>
  <si>
    <t>Red Scarlet</t>
  </si>
  <si>
    <t>Red Scarlet Medley</t>
  </si>
  <si>
    <t>Red Striped Cloth</t>
  </si>
  <si>
    <t>reddish vermilion</t>
  </si>
  <si>
    <t>Reddish Vermilion [Coerode]</t>
  </si>
  <si>
    <t>red-dyed (meede = madder: red dye)</t>
  </si>
  <si>
    <t>Remarks</t>
  </si>
  <si>
    <t>riders, rijders</t>
  </si>
  <si>
    <t>rijder</t>
  </si>
  <si>
    <t>Rijssel = Lille (France; French Flanders again, from 1384; now France)</t>
  </si>
  <si>
    <t>Riselschieren; Rijsel, Rysel</t>
  </si>
  <si>
    <t>Rode Bruxsche Laken</t>
  </si>
  <si>
    <t>Rode Bruxsche Lakene</t>
  </si>
  <si>
    <t>Rode Bruxsche Lakene + Ells</t>
  </si>
  <si>
    <t>Rode Bruxsche Lakenen</t>
  </si>
  <si>
    <t>Rode Lakene [Bruges?]</t>
  </si>
  <si>
    <t>roepers</t>
  </si>
  <si>
    <t>Roeselaers Moeyaerd Laken</t>
  </si>
  <si>
    <t>Roeselare = Roulers (West Flanders)</t>
  </si>
  <si>
    <t>Roesselaersche</t>
  </si>
  <si>
    <t>roet, rood</t>
  </si>
  <si>
    <t>RoG</t>
  </si>
  <si>
    <t>RoL</t>
  </si>
  <si>
    <t>Rood Brugsche Laken</t>
  </si>
  <si>
    <t>Rood Bruxsch Laken</t>
  </si>
  <si>
    <t>Rood Comensch Laken</t>
  </si>
  <si>
    <t>Rood Comensche Laken</t>
  </si>
  <si>
    <t>Rood Comensche Lakenen</t>
  </si>
  <si>
    <t>Rood Curterixsche Laken</t>
  </si>
  <si>
    <t>Rood Gheminghede Brughse Lakene</t>
  </si>
  <si>
    <t>Roode + Witte Bruxsche Cuerlakene</t>
  </si>
  <si>
    <t>Roode + Witte Bruxsche Laken</t>
  </si>
  <si>
    <t>Roode Bruxsche Laken</t>
  </si>
  <si>
    <t>Roode Bruxsche Lakene</t>
  </si>
  <si>
    <t>Roode Comensche Lakene</t>
  </si>
  <si>
    <t>Roode Comensche Lakine</t>
  </si>
  <si>
    <t>Roode Curterische Lakene</t>
  </si>
  <si>
    <t>Roode Curterixsche Lakene</t>
  </si>
  <si>
    <t>Roode Nieukercische Lakene</t>
  </si>
  <si>
    <t>Roode Nieukeres Lakene [small?]</t>
  </si>
  <si>
    <t>Rose</t>
  </si>
  <si>
    <t>Rose Scarlet</t>
  </si>
  <si>
    <t>Rose Scarlet Cloth</t>
  </si>
  <si>
    <t>Rose Striped Cloth</t>
  </si>
  <si>
    <t>rose, rosy-coloured, light-red</t>
  </si>
  <si>
    <t>rose-grey cloth</t>
  </si>
  <si>
    <t>Roseid Scaerlaken</t>
  </si>
  <si>
    <t>roseide rozeyt</t>
  </si>
  <si>
    <t>rosgraeuwe, rosse grauwe</t>
  </si>
  <si>
    <t>Rouen (France: duchy of Normandy)</t>
  </si>
  <si>
    <t>Roulers</t>
  </si>
  <si>
    <t>Roulers Blue Broadcloth</t>
  </si>
  <si>
    <t>Roulers Blue Broadcloth + 22.5 ells</t>
  </si>
  <si>
    <t>Roulers Brown Cloth</t>
  </si>
  <si>
    <t>Roulers Brown Cloth + Ells</t>
  </si>
  <si>
    <t>Roulers Cloth</t>
  </si>
  <si>
    <t>Roulers Green Broadcloth</t>
  </si>
  <si>
    <t>Roulers Medley Cloth</t>
  </si>
  <si>
    <t>Roulers Moyaerd Cloth</t>
  </si>
  <si>
    <t>Roulers Perse Broadcloth</t>
  </si>
  <si>
    <t>Rouwaensche</t>
  </si>
  <si>
    <t>S</t>
  </si>
  <si>
    <t>SAB</t>
  </si>
  <si>
    <t>SAB: SR</t>
  </si>
  <si>
    <t>sad- or zad-</t>
  </si>
  <si>
    <t>saelgelblader, sailleblat</t>
  </si>
  <si>
    <t>saien</t>
  </si>
  <si>
    <t>Saint Omer Cloth</t>
  </si>
  <si>
    <t>Saint Omer Medley Cloth</t>
  </si>
  <si>
    <t>Saint-Omer (France: county of Artois; formerly part of Flanders, to 1191)</t>
  </si>
  <si>
    <t>sandreyen, sandereye</t>
  </si>
  <si>
    <t>Sanguine</t>
  </si>
  <si>
    <t>Sanguine Scarlet Cloth</t>
  </si>
  <si>
    <t>sanguine, blood-red (red, with a bluish base or tinge)</t>
  </si>
  <si>
    <t>sangwijn</t>
  </si>
  <si>
    <t>sarmelijnsche graeuwe</t>
  </si>
  <si>
    <t>say or serge cloth (semi-worsted) from Gistel = Ghistelles (Flanders)</t>
  </si>
  <si>
    <t>SC</t>
  </si>
  <si>
    <t>scaerlaken</t>
  </si>
  <si>
    <t>Scaerlaken</t>
  </si>
  <si>
    <t>scaerpblaeu</t>
  </si>
  <si>
    <t>Scaerpe Blaeuwe Bruxsche Laken</t>
  </si>
  <si>
    <t>Scarewetters</t>
  </si>
  <si>
    <t>Scarlet</t>
  </si>
  <si>
    <t>Scarlet [Ghegreinden] Gheminghede</t>
  </si>
  <si>
    <t>Scarlet Medley</t>
  </si>
  <si>
    <t>scarlet: woollen cloth dyed partially or wholly in kermes (grain)</t>
  </si>
  <si>
    <t>Scarlets</t>
  </si>
  <si>
    <t>sceeren uter wulle (te), sceerne</t>
  </si>
  <si>
    <t>Scerewetters</t>
  </si>
  <si>
    <t>scerwetters, scarewetters, schadebeletters</t>
  </si>
  <si>
    <t>SCG</t>
  </si>
  <si>
    <t>Schepenen</t>
  </si>
  <si>
    <t>schepenen, scepenen</t>
  </si>
  <si>
    <t>scheren</t>
  </si>
  <si>
    <t>schilde, scilde</t>
  </si>
  <si>
    <t>sciers, schiere</t>
  </si>
  <si>
    <t>Scotters</t>
  </si>
  <si>
    <t>scoutheit, schoutet</t>
  </si>
  <si>
    <t>SCSL</t>
  </si>
  <si>
    <t>Scutters</t>
  </si>
  <si>
    <t>scutters, scotters, zelfscutters</t>
  </si>
  <si>
    <t>sealed cloth; lead seals</t>
  </si>
  <si>
    <t>sealed woollen cloths, made according to the guild regulations, with proper width and length</t>
  </si>
  <si>
    <t>sealed: with official cloth seals</t>
  </si>
  <si>
    <t>Season</t>
  </si>
  <si>
    <t>Sergante</t>
  </si>
  <si>
    <t>Serganten</t>
  </si>
  <si>
    <t>Serganten + Deelmans Clerke</t>
  </si>
  <si>
    <t>Serge</t>
  </si>
  <si>
    <t>Sergeants</t>
  </si>
  <si>
    <t>sergeants; militia officers</t>
  </si>
  <si>
    <t>serjante</t>
  </si>
  <si>
    <t>servants (usually boys or young men)</t>
  </si>
  <si>
    <t>Shearing</t>
  </si>
  <si>
    <t>sheriffs</t>
  </si>
  <si>
    <t>Shillings</t>
  </si>
  <si>
    <t>shillings parisis</t>
  </si>
  <si>
    <t>shiny or lustrous cloth [see: cangenten]</t>
  </si>
  <si>
    <t>Shiny Striped Cloth</t>
  </si>
  <si>
    <t>shorn:  final shearing after tentering</t>
  </si>
  <si>
    <t>short (i.e. short measure, shorter than required)</t>
  </si>
  <si>
    <t>shrunk: usually reshrinking after tenering, to provide the final dimensions</t>
  </si>
  <si>
    <t>sky blue</t>
  </si>
  <si>
    <t>Sky Blue</t>
  </si>
  <si>
    <t>SL</t>
  </si>
  <si>
    <t>slecht = poor quality, very cheap and nasty</t>
  </si>
  <si>
    <t>slichte</t>
  </si>
  <si>
    <t>SLSC</t>
  </si>
  <si>
    <t>smale</t>
  </si>
  <si>
    <t>Small</t>
  </si>
  <si>
    <t>Small Cloths</t>
  </si>
  <si>
    <t>SOG</t>
  </si>
  <si>
    <t>SOL</t>
  </si>
  <si>
    <t>soldiers (shooters), militia</t>
  </si>
  <si>
    <t>Source</t>
  </si>
  <si>
    <t>St. Bavo Cloth</t>
  </si>
  <si>
    <t>St. Omaersche</t>
  </si>
  <si>
    <t xml:space="preserve">Stadsarchief Brugge </t>
  </si>
  <si>
    <t>StBL</t>
  </si>
  <si>
    <t>stede meesters</t>
  </si>
  <si>
    <t>steenwaerders</t>
  </si>
  <si>
    <t>stoclakene</t>
  </si>
  <si>
    <t>Stoclakene</t>
  </si>
  <si>
    <t>STOL</t>
  </si>
  <si>
    <t>strijpten, stripede</t>
  </si>
  <si>
    <t>Striped Brown Scarlet</t>
  </si>
  <si>
    <t>Striped Cloth</t>
  </si>
  <si>
    <t>Striped Scarlet Cloth</t>
  </si>
  <si>
    <t>striped, rayed cloth: cloth woven with differently coloured warp yarns</t>
  </si>
  <si>
    <t>STU</t>
  </si>
  <si>
    <t>Stuerhooghede Cloth</t>
  </si>
  <si>
    <t>stuerhooghede, stuerhoogde</t>
  </si>
  <si>
    <t>stupid people: probably means those mentally incapacitated and indigent (with aerme lieden)</t>
  </si>
  <si>
    <t>Style</t>
  </si>
  <si>
    <t>Style and Colour of</t>
  </si>
  <si>
    <t>STYLES</t>
  </si>
  <si>
    <t>Surgenien</t>
  </si>
  <si>
    <t>Surgenien + Procureire</t>
  </si>
  <si>
    <t>Surgenien + Procurien</t>
  </si>
  <si>
    <t>Surgenien + Werclieden</t>
  </si>
  <si>
    <t>Surgeniene</t>
  </si>
  <si>
    <t>surgeon, physician</t>
  </si>
  <si>
    <t>Surgeons</t>
  </si>
  <si>
    <t>Surgienen</t>
  </si>
  <si>
    <t>surgiens</t>
  </si>
  <si>
    <t>Surgiens</t>
  </si>
  <si>
    <t>SYMBOL</t>
  </si>
  <si>
    <t>T</t>
  </si>
  <si>
    <t>talemans</t>
  </si>
  <si>
    <t>Tan</t>
  </si>
  <si>
    <t>tanneit; thenneyt; tanneyde</t>
  </si>
  <si>
    <t>tawny, faun-coloured, tan, light-brown</t>
  </si>
  <si>
    <t>teacher, language teachers</t>
  </si>
  <si>
    <t>TeL</t>
  </si>
  <si>
    <t>Termonde Cloth</t>
  </si>
  <si>
    <t>Termonde Striped Cloth</t>
  </si>
  <si>
    <t>TeSL</t>
  </si>
  <si>
    <t>Textile Terms</t>
  </si>
  <si>
    <t>the Cloth</t>
  </si>
  <si>
    <t>the colour of vetch blossoms</t>
  </si>
  <si>
    <t>The fair of Messines in SW Flanders</t>
  </si>
  <si>
    <t>the judicial council: magistrates, aldermen</t>
  </si>
  <si>
    <t>the poor, the indigent: recipients of cloths by charitable donations</t>
  </si>
  <si>
    <t>the sworn or committed officials of a guild</t>
  </si>
  <si>
    <t>TL</t>
  </si>
  <si>
    <t>to Buy</t>
  </si>
  <si>
    <t>to dye (in colours); dyestuffs</t>
  </si>
  <si>
    <t>to dye using blue-woad</t>
  </si>
  <si>
    <t>to dye using madder (red)</t>
  </si>
  <si>
    <t>to finish a cloth, by shearing and pressing, etc</t>
  </si>
  <si>
    <t>to finish a cloth, by shearing and pressing, etc; or a fully finished cloth (past participle)</t>
  </si>
  <si>
    <t>to measure (for shearing)</t>
  </si>
  <si>
    <t>to saturate with a dye; to make the colour dark and deep</t>
  </si>
  <si>
    <t>to shear a cloth</t>
  </si>
  <si>
    <t>to shear a cloth; i.e. to shear the raised nap on the woollen cloth</t>
  </si>
  <si>
    <t>to shrink cloth (krimpen)</t>
  </si>
  <si>
    <t>to stretch cloths on the tentering frames</t>
  </si>
  <si>
    <t>ToL</t>
  </si>
  <si>
    <t>torkijn blaeu</t>
  </si>
  <si>
    <t>Total</t>
  </si>
  <si>
    <t>TOTAL</t>
  </si>
  <si>
    <t xml:space="preserve">Total </t>
  </si>
  <si>
    <t>Total Cost</t>
  </si>
  <si>
    <t>Total Dyeing</t>
  </si>
  <si>
    <t>Total Finishing</t>
  </si>
  <si>
    <t>TOTAL IN</t>
  </si>
  <si>
    <t>Total value</t>
  </si>
  <si>
    <t>Total Value</t>
  </si>
  <si>
    <t>Tournai Cloth</t>
  </si>
  <si>
    <t>town priests or chaplains</t>
  </si>
  <si>
    <t>town treasurers</t>
  </si>
  <si>
    <t>town-cryers</t>
  </si>
  <si>
    <t>Transportation</t>
  </si>
  <si>
    <t xml:space="preserve">Transportation </t>
  </si>
  <si>
    <t>trenchen</t>
  </si>
  <si>
    <t>tresoriers</t>
  </si>
  <si>
    <t>Turkish blue</t>
  </si>
  <si>
    <t>UL</t>
  </si>
  <si>
    <t>Units</t>
  </si>
  <si>
    <t>unknown? [geleide: conducted, led]; if ghelijx: the same, or similar cloths</t>
  </si>
  <si>
    <t>Unnamed Cloth</t>
  </si>
  <si>
    <t>Upper</t>
  </si>
  <si>
    <t>Upper Clerke</t>
  </si>
  <si>
    <t>V</t>
  </si>
  <si>
    <t>vaerwene (te); vaerwe</t>
  </si>
  <si>
    <t>VaL</t>
  </si>
  <si>
    <t>Valenchiensche</t>
  </si>
  <si>
    <t>Valenciennes (Hainaut)</t>
  </si>
  <si>
    <t>Valenciennes Cloth</t>
  </si>
  <si>
    <t>Valkenberg/Fauquemont</t>
  </si>
  <si>
    <t>Valkenberghe = Fauquemont (in Brabant)</t>
  </si>
  <si>
    <t>Valkenbersche</t>
  </si>
  <si>
    <t>Valkenbersche Lakene</t>
  </si>
  <si>
    <t>Value of</t>
  </si>
  <si>
    <t>VB</t>
  </si>
  <si>
    <t>verzaddene</t>
  </si>
  <si>
    <t>verzienen</t>
  </si>
  <si>
    <t>Vetch Blossom</t>
  </si>
  <si>
    <t>Vetch Blossom Cloth</t>
  </si>
  <si>
    <t>Vilvoorde (NW of Brussels: in Brabant)</t>
  </si>
  <si>
    <t>Vilvoorde Cloth</t>
  </si>
  <si>
    <t>vinders</t>
  </si>
  <si>
    <t>Violet</t>
  </si>
  <si>
    <t>violet, light purple</t>
  </si>
  <si>
    <t>violette</t>
  </si>
  <si>
    <t>vitse</t>
  </si>
  <si>
    <t>Vitse Bloesem Laken</t>
  </si>
  <si>
    <t>vive, vijf wollen</t>
  </si>
  <si>
    <t>Vivid [Scaerp] Blue</t>
  </si>
  <si>
    <t>VL</t>
  </si>
  <si>
    <t>voederinghe</t>
  </si>
  <si>
    <t>Voederinghe [Lining] Cloth</t>
  </si>
  <si>
    <t>voerlakenen</t>
  </si>
  <si>
    <t>vulres</t>
  </si>
  <si>
    <t>Vulvorde, Vulvoorde, Vilvoorde</t>
  </si>
  <si>
    <t>W</t>
  </si>
  <si>
    <t>W + B1</t>
  </si>
  <si>
    <t>W + B2</t>
  </si>
  <si>
    <t>W + G1</t>
  </si>
  <si>
    <t>W[eavers] + F[ullers]</t>
  </si>
  <si>
    <t>WAB</t>
  </si>
  <si>
    <t>wachters</t>
  </si>
  <si>
    <t>Wachters</t>
  </si>
  <si>
    <t>Wachters + W[eavers] + F[ullers]</t>
  </si>
  <si>
    <t>waerdecors laken</t>
  </si>
  <si>
    <t>waerderers</t>
  </si>
  <si>
    <t>Wardecor Cloth</t>
  </si>
  <si>
    <t>warders, watchmen, guards</t>
  </si>
  <si>
    <t>warders, watchmen, guards cloths or uniforms</t>
  </si>
  <si>
    <t>watchmen, guards</t>
  </si>
  <si>
    <t>weavers: master-weavers who were also usually the draper-entrepreneurs</t>
  </si>
  <si>
    <t>WeG</t>
  </si>
  <si>
    <t>WeL</t>
  </si>
  <si>
    <t>Werclieden</t>
  </si>
  <si>
    <t>Werclieden + Garsonen?</t>
  </si>
  <si>
    <t>werclieden, werklieden</t>
  </si>
  <si>
    <t>Wervex</t>
  </si>
  <si>
    <t>Wervik</t>
  </si>
  <si>
    <t>Wervik = Wervicq (SW Flanders: near Ieper</t>
  </si>
  <si>
    <t>Wervik Blue Cloth</t>
  </si>
  <si>
    <t>Wervik Brown Cloth</t>
  </si>
  <si>
    <t>Wervik Brown Grey Cloth + 6 Ells</t>
  </si>
  <si>
    <t>Wervik Cloth</t>
  </si>
  <si>
    <t>Wervik Green Cloth</t>
  </si>
  <si>
    <t>Wervik Medlar Bloom Medley Cloth</t>
  </si>
  <si>
    <t>Wervik Medley Cloth</t>
  </si>
  <si>
    <t>Wervixsche Blaeu Laken</t>
  </si>
  <si>
    <t>Wervixsche Groen Laken</t>
  </si>
  <si>
    <t>wet</t>
  </si>
  <si>
    <t>Wet</t>
  </si>
  <si>
    <t xml:space="preserve">Wet </t>
  </si>
  <si>
    <t>Wet + Buerchmeesters + Clerke</t>
  </si>
  <si>
    <t>Wet + Clerke</t>
  </si>
  <si>
    <t>wet caproens</t>
  </si>
  <si>
    <t>Wet Clocken</t>
  </si>
  <si>
    <t>Wet CLocken</t>
  </si>
  <si>
    <t>wet clocken; VWC (van wet clocken)</t>
  </si>
  <si>
    <t>wevers</t>
  </si>
  <si>
    <t>WG2</t>
  </si>
  <si>
    <t>white</t>
  </si>
  <si>
    <t>White</t>
  </si>
  <si>
    <t>White Apple Blossom</t>
  </si>
  <si>
    <t>White Grey</t>
  </si>
  <si>
    <t>White Medley</t>
  </si>
  <si>
    <t xml:space="preserve">White Medley Scarlet </t>
  </si>
  <si>
    <t>White Medley Striped Cloth</t>
  </si>
  <si>
    <t>White Natural Wool [Schiere] Medley</t>
  </si>
  <si>
    <t>White Striped Cloth</t>
  </si>
  <si>
    <t>white-grey-brown colour</t>
  </si>
  <si>
    <t>wit, witte, witten</t>
  </si>
  <si>
    <t>with bells: cloths with bell insignia or seals: perhaps bellaerden woollens</t>
  </si>
  <si>
    <t>witkins</t>
  </si>
  <si>
    <t>Witte + Brune Bruxsche Lakene</t>
  </si>
  <si>
    <t>Witte + Groene Bruxsche Lakenen</t>
  </si>
  <si>
    <t>Witte + Lichte Blaeuwe Bruxsche Laken</t>
  </si>
  <si>
    <t>Witte Bruxsche Cuerlaken</t>
  </si>
  <si>
    <t>Witte Bruxsche Laken</t>
  </si>
  <si>
    <t>Witte Bruxsche Lakene onghecrompen</t>
  </si>
  <si>
    <t>wittesciere</t>
  </si>
  <si>
    <t>WL</t>
  </si>
  <si>
    <t>WM</t>
  </si>
  <si>
    <t>WMSC</t>
  </si>
  <si>
    <t>WMSL</t>
  </si>
  <si>
    <t>WNM</t>
  </si>
  <si>
    <t>woollen cloaks for the magistrates</t>
  </si>
  <si>
    <t>woollen cloths with seals containing insignia of the double-F (i.e. brand name of cloth)</t>
  </si>
  <si>
    <t>workmen or caretaker</t>
  </si>
  <si>
    <t>workmen, labourers</t>
  </si>
  <si>
    <t>worsted or semi-worsted cloth; serges (worsted warps, woollen wefts)</t>
  </si>
  <si>
    <t>woudene (te)</t>
  </si>
  <si>
    <t>WSL</t>
  </si>
  <si>
    <t>wulvekin</t>
  </si>
  <si>
    <t>Y</t>
  </si>
  <si>
    <t>Year</t>
  </si>
  <si>
    <t>yellow</t>
  </si>
  <si>
    <t>Yellow</t>
  </si>
  <si>
    <t>YG</t>
  </si>
  <si>
    <t>ygreinden, ghegreinde</t>
  </si>
  <si>
    <t>YL</t>
  </si>
  <si>
    <t>ymincghede = gheminghede</t>
  </si>
  <si>
    <t>Ypersch</t>
  </si>
  <si>
    <t>Ypersch Persch Lakin</t>
  </si>
  <si>
    <t>Ypres</t>
  </si>
  <si>
    <t>Ypres Cloth</t>
  </si>
  <si>
    <t>Ypres Fine Green Cloth</t>
  </si>
  <si>
    <t>Ypres Fine Red Scarlet Cloth</t>
  </si>
  <si>
    <t>Ypres Medley Cloth</t>
  </si>
  <si>
    <t>Ypres Perse Cloth</t>
  </si>
  <si>
    <t>yscreven</t>
  </si>
  <si>
    <t>YZ</t>
  </si>
  <si>
    <t>zalig = blessed: heavenly blue?</t>
  </si>
  <si>
    <t>Zat Blaeu Bruxsche Laken</t>
  </si>
  <si>
    <t>Zat Blaeu Laken</t>
  </si>
  <si>
    <t>Zat Groene Brussche Lakine</t>
  </si>
  <si>
    <t>Zatte Blaeuwe Fine Bruxssche Laken</t>
  </si>
  <si>
    <t>Zatte Blauwe Bruxsche Laken</t>
  </si>
  <si>
    <t>Zeeusch</t>
  </si>
  <si>
    <t>zeghelen</t>
  </si>
  <si>
    <t>Zeghelwanweed Blue</t>
  </si>
  <si>
    <t>Zichem</t>
  </si>
  <si>
    <t>Zichem = Brabant (east-central, east of Mechelen)</t>
  </si>
  <si>
    <t>Zichen Cloth</t>
  </si>
  <si>
    <t>Zichen Green Cloth</t>
  </si>
  <si>
    <t>Zichensche, Zichem</t>
  </si>
  <si>
    <t>ziden, zieden</t>
  </si>
  <si>
    <t>ZL</t>
  </si>
  <si>
    <t xml:space="preserve">ZL </t>
  </si>
  <si>
    <t>zwart, zward, zwards</t>
  </si>
  <si>
    <t>Zwarte Bruxsche Laken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</si>
</sst>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00"/>
    <numFmt numFmtId="167" formatCode="0.0000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8"/>
      <color indexed="40"/>
      <name val="Cambria"/>
      <family val="2"/>
    </font>
    <font>
      <b/>
      <sz val="11"/>
      <color indexed="40"/>
      <name val="Calibri"/>
      <family val="2"/>
    </font>
    <font>
      <sz val="11"/>
      <color indexed="37"/>
      <name val="Calibri"/>
      <family val="2"/>
    </font>
    <font>
      <sz val="11"/>
      <color indexed="25"/>
      <name val="Calibri"/>
      <family val="2"/>
    </font>
    <font>
      <sz val="11"/>
      <color indexed="34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3" fillId="0" borderId="0" applyNumberFormat="0" applyFill="0" applyBorder="0" applyAlignment="0" applyProtection="0"/>
    <xf numFmtId="2" fontId="0" fillId="0" borderId="0">
      <alignment/>
      <protection/>
    </xf>
    <xf numFmtId="0" fontId="2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4" applyNumberFormat="0" applyFill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0" fontId="29" fillId="27" borderId="6" applyNumberFormat="0" applyAlignment="0" applyProtection="0"/>
    <xf numFmtId="1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7">
      <alignment/>
      <protection/>
    </xf>
    <xf numFmtId="0" fontId="3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2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0" fillId="33" borderId="0" xfId="0" applyNumberFormat="1" applyFill="1" applyAlignment="1">
      <alignment horizontal="right"/>
    </xf>
    <xf numFmtId="0" fontId="3" fillId="33" borderId="0" xfId="0" applyFont="1" applyFill="1" applyAlignment="1">
      <alignment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6" fontId="3" fillId="33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33" borderId="0" xfId="0" applyFill="1" applyAlignment="1">
      <alignment/>
    </xf>
    <xf numFmtId="167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3" fillId="3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1" fontId="3" fillId="33" borderId="0" xfId="0" applyNumberFormat="1" applyFont="1" applyFill="1" applyAlignment="1">
      <alignment/>
    </xf>
    <xf numFmtId="1" fontId="0" fillId="33" borderId="0" xfId="0" applyNumberFormat="1" applyFill="1" applyAlignment="1">
      <alignment horizontal="right"/>
    </xf>
    <xf numFmtId="1" fontId="3" fillId="0" borderId="0" xfId="0" applyNumberFormat="1" applyFont="1" applyAlignment="1">
      <alignment horizontal="center"/>
    </xf>
    <xf numFmtId="167" fontId="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0" fontId="3" fillId="0" borderId="0" xfId="0" applyFont="1" applyAlignment="1">
      <alignment horizontal="centerContinuous"/>
    </xf>
    <xf numFmtId="10" fontId="3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1" fontId="0" fillId="0" borderId="0" xfId="0" applyNumberFormat="1" applyAlignment="1">
      <alignment horizontal="left"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2" fontId="0" fillId="33" borderId="0" xfId="0" applyNumberFormat="1" applyFill="1" applyAlignment="1">
      <alignment horizontal="right"/>
    </xf>
    <xf numFmtId="2" fontId="3" fillId="33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" fontId="3" fillId="33" borderId="0" xfId="0" applyNumberFormat="1" applyFont="1" applyFill="1" applyAlignment="1">
      <alignment horizontal="right"/>
    </xf>
    <xf numFmtId="167" fontId="0" fillId="0" borderId="0" xfId="0" applyNumberFormat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2" fontId="3" fillId="33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FF80"/>
      <rgbColor rgb="000080FF"/>
      <rgbColor rgb="0000FF00"/>
      <rgbColor rgb="00FF0000"/>
      <rgbColor rgb="0071FFFF"/>
      <rgbColor rgb="00C0FF80"/>
      <rgbColor rgb="0080FF80"/>
      <rgbColor rgb="00FFFF00"/>
      <rgbColor rgb="0080FFFF"/>
      <rgbColor rgb="0080C0FF"/>
      <rgbColor rgb="008080FF"/>
      <rgbColor rgb="00C080FF"/>
      <rgbColor rgb="00FF80FF"/>
      <rgbColor rgb="00FF80C0"/>
      <rgbColor rgb="00FF0080"/>
      <rgbColor rgb="00FF00FF"/>
      <rgbColor rgb="008000FF"/>
      <rgbColor rgb="000000FF"/>
      <rgbColor rgb="0000FFFF"/>
      <rgbColor rgb="0000FF80"/>
      <rgbColor rgb="0080FF00"/>
      <rgbColor rgb="00FF8000"/>
      <rgbColor rgb="00C00000"/>
      <rgbColor rgb="00C06000"/>
      <rgbColor rgb="00C0C000"/>
      <rgbColor rgb="0060C000"/>
      <rgbColor rgb="0000C000"/>
      <rgbColor rgb="0000C060"/>
      <rgbColor rgb="0000C0C0"/>
      <rgbColor rgb="000060C0"/>
      <rgbColor rgb="000000C0"/>
      <rgbColor rgb="006000C0"/>
      <rgbColor rgb="00C000C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50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0" sqref="P30"/>
    </sheetView>
  </sheetViews>
  <sheetFormatPr defaultColWidth="9.140625" defaultRowHeight="12.75"/>
  <cols>
    <col min="1" max="1" width="37.28125" style="0" customWidth="1"/>
    <col min="5" max="5" width="46.00390625" style="0" customWidth="1"/>
    <col min="7" max="7" width="12.28125" style="0" customWidth="1"/>
  </cols>
  <sheetData>
    <row r="1" ht="12.75">
      <c r="C1" s="30" t="s">
        <v>785</v>
      </c>
    </row>
    <row r="3" spans="1:7" ht="12.75">
      <c r="A3" s="18" t="s">
        <v>1360</v>
      </c>
      <c r="C3" s="1" t="s">
        <v>1371</v>
      </c>
      <c r="E3" s="1" t="s">
        <v>589</v>
      </c>
      <c r="G3" s="1" t="s">
        <v>1371</v>
      </c>
    </row>
    <row r="5" spans="1:7" ht="12.75">
      <c r="A5" s="1" t="s">
        <v>550</v>
      </c>
      <c r="C5" t="s">
        <v>544</v>
      </c>
      <c r="E5" s="1" t="s">
        <v>311</v>
      </c>
      <c r="G5" t="s">
        <v>289</v>
      </c>
    </row>
    <row r="6" spans="1:7" ht="12.75">
      <c r="A6" s="1" t="s">
        <v>645</v>
      </c>
      <c r="C6" t="s">
        <v>632</v>
      </c>
      <c r="E6" s="1" t="s">
        <v>308</v>
      </c>
      <c r="G6" t="s">
        <v>293</v>
      </c>
    </row>
    <row r="7" spans="1:7" ht="12.75">
      <c r="A7" s="1" t="s">
        <v>680</v>
      </c>
      <c r="C7" t="s">
        <v>688</v>
      </c>
      <c r="E7" s="1" t="s">
        <v>309</v>
      </c>
      <c r="G7" t="s">
        <v>294</v>
      </c>
    </row>
    <row r="8" spans="1:7" ht="12.75">
      <c r="A8" s="1" t="s">
        <v>777</v>
      </c>
      <c r="C8" t="s">
        <v>744</v>
      </c>
      <c r="E8" s="1" t="s">
        <v>310</v>
      </c>
      <c r="G8" t="s">
        <v>295</v>
      </c>
    </row>
    <row r="9" spans="1:7" ht="12.75">
      <c r="A9" s="1" t="s">
        <v>797</v>
      </c>
      <c r="C9" t="s">
        <v>798</v>
      </c>
      <c r="E9" s="1" t="s">
        <v>322</v>
      </c>
      <c r="G9" t="s">
        <v>318</v>
      </c>
    </row>
    <row r="10" spans="1:7" ht="12.75">
      <c r="A10" s="1" t="s">
        <v>960</v>
      </c>
      <c r="C10" t="s">
        <v>845</v>
      </c>
      <c r="E10" s="1" t="s">
        <v>323</v>
      </c>
      <c r="G10" t="s">
        <v>324</v>
      </c>
    </row>
    <row r="11" spans="1:7" ht="12.75">
      <c r="A11" s="1" t="s">
        <v>1313</v>
      </c>
      <c r="C11" t="s">
        <v>1265</v>
      </c>
      <c r="E11" s="1" t="s">
        <v>395</v>
      </c>
      <c r="G11" t="s">
        <v>327</v>
      </c>
    </row>
    <row r="12" spans="1:7" ht="12.75">
      <c r="A12" s="1" t="s">
        <v>1287</v>
      </c>
      <c r="C12" t="s">
        <v>1281</v>
      </c>
      <c r="E12" s="1" t="s">
        <v>312</v>
      </c>
      <c r="G12" t="s">
        <v>329</v>
      </c>
    </row>
    <row r="13" spans="1:7" ht="12.75">
      <c r="A13" s="1" t="s">
        <v>1288</v>
      </c>
      <c r="C13" t="s">
        <v>1295</v>
      </c>
      <c r="E13" s="1" t="s">
        <v>297</v>
      </c>
      <c r="G13" t="s">
        <v>330</v>
      </c>
    </row>
    <row r="14" spans="1:7" ht="12.75">
      <c r="A14" s="1" t="s">
        <v>1352</v>
      </c>
      <c r="C14" t="s">
        <v>1303</v>
      </c>
      <c r="E14" s="1" t="s">
        <v>863</v>
      </c>
      <c r="G14" t="s">
        <v>331</v>
      </c>
    </row>
    <row r="15" spans="1:7" ht="12.75">
      <c r="A15" s="1" t="s">
        <v>1351</v>
      </c>
      <c r="C15" t="s">
        <v>1329</v>
      </c>
      <c r="E15" s="1" t="s">
        <v>864</v>
      </c>
      <c r="G15" t="s">
        <v>332</v>
      </c>
    </row>
    <row r="16" spans="1:7" ht="12.75">
      <c r="A16" s="1" t="s">
        <v>1340</v>
      </c>
      <c r="C16" t="s">
        <v>1343</v>
      </c>
      <c r="E16" s="1" t="s">
        <v>917</v>
      </c>
      <c r="G16" t="s">
        <v>333</v>
      </c>
    </row>
    <row r="17" spans="1:7" ht="12.75">
      <c r="A17" s="1" t="s">
        <v>1347</v>
      </c>
      <c r="C17" t="s">
        <v>1348</v>
      </c>
      <c r="E17" s="1" t="s">
        <v>396</v>
      </c>
      <c r="G17" t="s">
        <v>334</v>
      </c>
    </row>
    <row r="18" spans="1:7" ht="12.75">
      <c r="A18" s="1" t="s">
        <v>1425</v>
      </c>
      <c r="C18" t="s">
        <v>1422</v>
      </c>
      <c r="E18" s="1" t="s">
        <v>1131</v>
      </c>
      <c r="G18" t="s">
        <v>336</v>
      </c>
    </row>
    <row r="19" spans="1:7" ht="12.75">
      <c r="A19" s="1" t="s">
        <v>1456</v>
      </c>
      <c r="C19" t="s">
        <v>1454</v>
      </c>
      <c r="E19" s="1" t="s">
        <v>1132</v>
      </c>
      <c r="G19" t="s">
        <v>337</v>
      </c>
    </row>
    <row r="20" spans="1:7" ht="12.75">
      <c r="A20" s="1" t="s">
        <v>1471</v>
      </c>
      <c r="C20" t="s">
        <v>1524</v>
      </c>
      <c r="E20" s="1" t="s">
        <v>1196</v>
      </c>
      <c r="G20" t="s">
        <v>338</v>
      </c>
    </row>
    <row r="21" spans="5:7" ht="12.75">
      <c r="E21" s="1" t="s">
        <v>1328</v>
      </c>
      <c r="G21" t="s">
        <v>339</v>
      </c>
    </row>
    <row r="22" spans="1:7" ht="12.75">
      <c r="A22" s="1" t="s">
        <v>441</v>
      </c>
      <c r="C22" t="s">
        <v>410</v>
      </c>
      <c r="E22" s="1" t="s">
        <v>397</v>
      </c>
      <c r="G22" t="s">
        <v>340</v>
      </c>
    </row>
    <row r="23" spans="1:7" ht="12.75">
      <c r="A23" s="1" t="s">
        <v>483</v>
      </c>
      <c r="C23" t="s">
        <v>408</v>
      </c>
      <c r="E23" s="1" t="s">
        <v>398</v>
      </c>
      <c r="G23" t="s">
        <v>341</v>
      </c>
    </row>
    <row r="24" spans="1:7" ht="12.75">
      <c r="A24" s="1" t="s">
        <v>493</v>
      </c>
      <c r="C24" t="s">
        <v>426</v>
      </c>
      <c r="E24" s="1" t="s">
        <v>928</v>
      </c>
      <c r="G24" t="s">
        <v>342</v>
      </c>
    </row>
    <row r="25" spans="1:7" ht="12.75">
      <c r="A25" s="1" t="s">
        <v>494</v>
      </c>
      <c r="C25" t="s">
        <v>532</v>
      </c>
      <c r="E25" s="1" t="s">
        <v>1453</v>
      </c>
      <c r="G25" t="s">
        <v>343</v>
      </c>
    </row>
    <row r="26" spans="1:7" ht="12.75">
      <c r="A26" s="1" t="s">
        <v>521</v>
      </c>
      <c r="C26" t="s">
        <v>538</v>
      </c>
      <c r="E26" s="1" t="s">
        <v>1563</v>
      </c>
      <c r="G26" t="s">
        <v>344</v>
      </c>
    </row>
    <row r="27" spans="1:7" ht="12.75">
      <c r="A27" s="1" t="s">
        <v>520</v>
      </c>
      <c r="C27" t="s">
        <v>539</v>
      </c>
      <c r="E27" s="1" t="s">
        <v>622</v>
      </c>
      <c r="G27" t="s">
        <v>345</v>
      </c>
    </row>
    <row r="28" spans="1:7" ht="12.75">
      <c r="A28" s="1" t="s">
        <v>546</v>
      </c>
      <c r="C28" t="s">
        <v>579</v>
      </c>
      <c r="E28" s="1" t="s">
        <v>624</v>
      </c>
      <c r="G28" t="s">
        <v>346</v>
      </c>
    </row>
    <row r="29" spans="1:7" ht="12.75">
      <c r="A29" s="1" t="s">
        <v>598</v>
      </c>
      <c r="C29" t="s">
        <v>585</v>
      </c>
      <c r="E29" s="1" t="s">
        <v>396</v>
      </c>
      <c r="G29" t="s">
        <v>334</v>
      </c>
    </row>
    <row r="30" spans="1:7" ht="12.75">
      <c r="A30" s="1" t="s">
        <v>601</v>
      </c>
      <c r="C30" t="s">
        <v>584</v>
      </c>
      <c r="E30" s="1" t="s">
        <v>399</v>
      </c>
      <c r="G30" t="s">
        <v>335</v>
      </c>
    </row>
    <row r="31" spans="1:7" ht="12.75">
      <c r="A31" s="1" t="s">
        <v>614</v>
      </c>
      <c r="C31" t="s">
        <v>565</v>
      </c>
      <c r="E31" s="1" t="s">
        <v>415</v>
      </c>
      <c r="G31" t="s">
        <v>347</v>
      </c>
    </row>
    <row r="32" spans="1:7" ht="12.75">
      <c r="A32" s="1" t="s">
        <v>613</v>
      </c>
      <c r="C32" t="s">
        <v>561</v>
      </c>
      <c r="E32" s="1" t="s">
        <v>416</v>
      </c>
      <c r="G32" t="s">
        <v>349</v>
      </c>
    </row>
    <row r="33" spans="1:7" ht="12.75">
      <c r="A33" s="1" t="s">
        <v>650</v>
      </c>
      <c r="C33" t="s">
        <v>639</v>
      </c>
      <c r="E33" s="1" t="s">
        <v>918</v>
      </c>
      <c r="G33" t="s">
        <v>352</v>
      </c>
    </row>
    <row r="34" spans="1:7" ht="12.75">
      <c r="A34" s="1" t="s">
        <v>652</v>
      </c>
      <c r="C34" t="s">
        <v>643</v>
      </c>
      <c r="E34" s="1" t="s">
        <v>625</v>
      </c>
      <c r="G34" t="s">
        <v>361</v>
      </c>
    </row>
    <row r="35" spans="1:7" ht="12.75">
      <c r="A35" s="1" t="s">
        <v>655</v>
      </c>
      <c r="C35" t="s">
        <v>654</v>
      </c>
      <c r="E35" s="1" t="s">
        <v>420</v>
      </c>
      <c r="G35" t="s">
        <v>353</v>
      </c>
    </row>
    <row r="36" spans="1:7" ht="12.75">
      <c r="A36" s="1" t="s">
        <v>668</v>
      </c>
      <c r="C36" t="s">
        <v>660</v>
      </c>
      <c r="E36" s="1" t="s">
        <v>417</v>
      </c>
      <c r="G36" t="s">
        <v>354</v>
      </c>
    </row>
    <row r="37" spans="1:7" ht="12.75">
      <c r="A37" s="1" t="s">
        <v>685</v>
      </c>
      <c r="C37" t="s">
        <v>686</v>
      </c>
      <c r="E37" s="1" t="s">
        <v>421</v>
      </c>
      <c r="G37" t="s">
        <v>355</v>
      </c>
    </row>
    <row r="38" spans="1:7" ht="12.75">
      <c r="A38" s="1" t="s">
        <v>695</v>
      </c>
      <c r="C38" t="s">
        <v>737</v>
      </c>
      <c r="E38" s="1" t="s">
        <v>423</v>
      </c>
      <c r="G38" t="s">
        <v>356</v>
      </c>
    </row>
    <row r="39" spans="1:7" ht="12.75">
      <c r="A39" s="1" t="s">
        <v>787</v>
      </c>
      <c r="C39" t="s">
        <v>846</v>
      </c>
      <c r="E39" s="1" t="s">
        <v>422</v>
      </c>
      <c r="G39" t="s">
        <v>357</v>
      </c>
    </row>
    <row r="40" spans="1:7" ht="12.75">
      <c r="A40" s="1" t="s">
        <v>784</v>
      </c>
      <c r="C40" t="s">
        <v>850</v>
      </c>
      <c r="E40" s="1" t="s">
        <v>425</v>
      </c>
      <c r="G40" t="s">
        <v>358</v>
      </c>
    </row>
    <row r="41" spans="1:7" ht="12.75">
      <c r="A41" s="1" t="s">
        <v>786</v>
      </c>
      <c r="C41" t="s">
        <v>848</v>
      </c>
      <c r="E41" s="1" t="s">
        <v>424</v>
      </c>
      <c r="G41" t="s">
        <v>360</v>
      </c>
    </row>
    <row r="42" spans="1:7" ht="12.75">
      <c r="A42" s="1" t="s">
        <v>789</v>
      </c>
      <c r="C42" t="s">
        <v>851</v>
      </c>
      <c r="E42" s="1" t="s">
        <v>1350</v>
      </c>
      <c r="G42" t="s">
        <v>359</v>
      </c>
    </row>
    <row r="43" spans="1:7" ht="12.75">
      <c r="A43" s="1" t="s">
        <v>790</v>
      </c>
      <c r="C43" t="s">
        <v>849</v>
      </c>
      <c r="E43" s="1" t="s">
        <v>418</v>
      </c>
      <c r="G43" t="s">
        <v>350</v>
      </c>
    </row>
    <row r="44" spans="1:7" ht="12.75">
      <c r="A44" s="1" t="s">
        <v>788</v>
      </c>
      <c r="C44" t="s">
        <v>847</v>
      </c>
      <c r="E44" s="1" t="s">
        <v>419</v>
      </c>
      <c r="G44" t="s">
        <v>351</v>
      </c>
    </row>
    <row r="45" spans="1:7" ht="12.75">
      <c r="A45" s="1" t="s">
        <v>860</v>
      </c>
      <c r="C45" t="s">
        <v>871</v>
      </c>
      <c r="E45" s="1" t="s">
        <v>373</v>
      </c>
      <c r="G45" t="s">
        <v>362</v>
      </c>
    </row>
    <row r="46" spans="1:7" ht="12.75">
      <c r="A46" s="1" t="s">
        <v>861</v>
      </c>
      <c r="C46" t="s">
        <v>869</v>
      </c>
      <c r="E46" s="1" t="s">
        <v>1323</v>
      </c>
      <c r="G46" t="s">
        <v>557</v>
      </c>
    </row>
    <row r="47" spans="1:7" ht="12.75">
      <c r="A47" s="1" t="s">
        <v>931</v>
      </c>
      <c r="C47" t="s">
        <v>940</v>
      </c>
      <c r="E47" s="1" t="s">
        <v>819</v>
      </c>
      <c r="G47" t="s">
        <v>745</v>
      </c>
    </row>
    <row r="48" spans="1:7" ht="12.75">
      <c r="A48" s="1" t="s">
        <v>907</v>
      </c>
      <c r="C48" t="s">
        <v>906</v>
      </c>
      <c r="E48" s="1" t="s">
        <v>920</v>
      </c>
      <c r="G48" t="s">
        <v>749</v>
      </c>
    </row>
    <row r="49" spans="1:7" ht="12.75">
      <c r="A49" s="1" t="s">
        <v>915</v>
      </c>
      <c r="C49" t="s">
        <v>930</v>
      </c>
      <c r="E49" s="1" t="s">
        <v>921</v>
      </c>
      <c r="G49" t="s">
        <v>750</v>
      </c>
    </row>
    <row r="50" spans="1:7" ht="12.75">
      <c r="A50" s="1" t="s">
        <v>935</v>
      </c>
      <c r="C50" t="s">
        <v>941</v>
      </c>
      <c r="E50" s="1" t="s">
        <v>820</v>
      </c>
      <c r="G50" t="s">
        <v>751</v>
      </c>
    </row>
    <row r="51" spans="1:7" ht="12.75">
      <c r="A51" s="1" t="s">
        <v>955</v>
      </c>
      <c r="C51" t="s">
        <v>984</v>
      </c>
      <c r="E51" s="1" t="s">
        <v>821</v>
      </c>
      <c r="G51" t="s">
        <v>752</v>
      </c>
    </row>
    <row r="52" spans="1:7" ht="12.75">
      <c r="A52" s="1" t="s">
        <v>956</v>
      </c>
      <c r="C52" t="s">
        <v>974</v>
      </c>
      <c r="E52" s="1" t="s">
        <v>626</v>
      </c>
      <c r="G52" t="s">
        <v>753</v>
      </c>
    </row>
    <row r="53" spans="1:7" ht="12.75">
      <c r="A53" s="1" t="s">
        <v>968</v>
      </c>
      <c r="C53" t="s">
        <v>965</v>
      </c>
      <c r="E53" s="1" t="s">
        <v>627</v>
      </c>
      <c r="G53" t="s">
        <v>754</v>
      </c>
    </row>
    <row r="54" spans="1:7" ht="12.75">
      <c r="A54" s="1" t="s">
        <v>969</v>
      </c>
      <c r="C54" t="s">
        <v>964</v>
      </c>
      <c r="E54" s="1" t="s">
        <v>823</v>
      </c>
      <c r="G54" t="s">
        <v>755</v>
      </c>
    </row>
    <row r="55" spans="1:7" ht="12.75">
      <c r="A55" s="1" t="s">
        <v>990</v>
      </c>
      <c r="C55" t="s">
        <v>985</v>
      </c>
      <c r="E55" s="1" t="s">
        <v>923</v>
      </c>
      <c r="G55" t="s">
        <v>756</v>
      </c>
    </row>
    <row r="56" spans="1:7" ht="12.75">
      <c r="A56" s="1" t="s">
        <v>993</v>
      </c>
      <c r="C56" t="s">
        <v>999</v>
      </c>
      <c r="E56" s="1" t="s">
        <v>924</v>
      </c>
      <c r="G56" t="s">
        <v>757</v>
      </c>
    </row>
    <row r="57" spans="1:7" ht="12.75">
      <c r="A57" s="1" t="s">
        <v>1060</v>
      </c>
      <c r="C57" t="s">
        <v>1057</v>
      </c>
      <c r="E57" s="1" t="s">
        <v>824</v>
      </c>
      <c r="G57" t="s">
        <v>758</v>
      </c>
    </row>
    <row r="58" spans="1:7" ht="12.75">
      <c r="A58" s="1" t="s">
        <v>1096</v>
      </c>
      <c r="C58" t="s">
        <v>1089</v>
      </c>
      <c r="E58" s="1" t="s">
        <v>628</v>
      </c>
      <c r="G58" t="s">
        <v>759</v>
      </c>
    </row>
    <row r="59" spans="1:7" ht="12.75">
      <c r="A59" s="1" t="s">
        <v>1097</v>
      </c>
      <c r="C59" t="s">
        <v>1088</v>
      </c>
      <c r="E59" s="1" t="s">
        <v>629</v>
      </c>
      <c r="G59" t="s">
        <v>760</v>
      </c>
    </row>
    <row r="60" spans="1:7" ht="12.75">
      <c r="A60" s="1" t="s">
        <v>1259</v>
      </c>
      <c r="C60" t="s">
        <v>1226</v>
      </c>
      <c r="E60" s="1" t="s">
        <v>799</v>
      </c>
      <c r="G60" t="s">
        <v>761</v>
      </c>
    </row>
    <row r="61" spans="1:7" ht="12.75">
      <c r="A61" s="1" t="s">
        <v>1261</v>
      </c>
      <c r="C61" t="s">
        <v>1225</v>
      </c>
      <c r="E61" s="1" t="s">
        <v>541</v>
      </c>
      <c r="G61" t="s">
        <v>855</v>
      </c>
    </row>
    <row r="62" spans="1:7" ht="12.75">
      <c r="A62" s="1" t="s">
        <v>1271</v>
      </c>
      <c r="C62" t="s">
        <v>1337</v>
      </c>
      <c r="E62" s="1" t="s">
        <v>542</v>
      </c>
      <c r="G62" t="s">
        <v>877</v>
      </c>
    </row>
    <row r="63" spans="1:7" ht="12.75">
      <c r="A63" s="1" t="s">
        <v>1272</v>
      </c>
      <c r="C63" t="s">
        <v>1336</v>
      </c>
      <c r="E63" s="1" t="s">
        <v>959</v>
      </c>
      <c r="G63" t="s">
        <v>944</v>
      </c>
    </row>
    <row r="64" spans="1:7" ht="12.75">
      <c r="A64" s="1" t="s">
        <v>1413</v>
      </c>
      <c r="C64" t="s">
        <v>1402</v>
      </c>
      <c r="E64" s="1" t="s">
        <v>925</v>
      </c>
      <c r="G64" t="s">
        <v>984</v>
      </c>
    </row>
    <row r="65" spans="1:7" ht="12.75">
      <c r="A65" s="1" t="s">
        <v>1379</v>
      </c>
      <c r="C65" t="s">
        <v>1378</v>
      </c>
      <c r="E65" s="1" t="s">
        <v>676</v>
      </c>
      <c r="G65" t="s">
        <v>946</v>
      </c>
    </row>
    <row r="66" spans="1:7" ht="12.75">
      <c r="A66" s="1" t="s">
        <v>1380</v>
      </c>
      <c r="C66" t="s">
        <v>1381</v>
      </c>
      <c r="E66" s="1" t="s">
        <v>958</v>
      </c>
      <c r="G66" t="s">
        <v>953</v>
      </c>
    </row>
    <row r="67" spans="1:7" ht="12.75">
      <c r="A67" s="1" t="s">
        <v>1433</v>
      </c>
      <c r="C67" t="s">
        <v>1430</v>
      </c>
      <c r="E67" s="1" t="s">
        <v>1289</v>
      </c>
      <c r="G67" t="s">
        <v>997</v>
      </c>
    </row>
    <row r="68" spans="1:7" ht="12.75">
      <c r="A68" s="1" t="s">
        <v>1445</v>
      </c>
      <c r="C68" t="s">
        <v>1454</v>
      </c>
      <c r="E68" s="1" t="s">
        <v>1055</v>
      </c>
      <c r="G68" t="s">
        <v>1002</v>
      </c>
    </row>
    <row r="69" spans="1:7" ht="12.75">
      <c r="A69" s="1" t="s">
        <v>1487</v>
      </c>
      <c r="C69" t="s">
        <v>1477</v>
      </c>
      <c r="E69" s="1" t="s">
        <v>1056</v>
      </c>
      <c r="G69" t="s">
        <v>1067</v>
      </c>
    </row>
    <row r="70" spans="1:7" ht="12.75">
      <c r="A70" s="1" t="s">
        <v>1490</v>
      </c>
      <c r="C70" t="s">
        <v>1476</v>
      </c>
      <c r="E70" s="1" t="s">
        <v>1092</v>
      </c>
      <c r="G70" t="s">
        <v>1075</v>
      </c>
    </row>
    <row r="71" spans="1:7" ht="12.75">
      <c r="A71" s="1" t="s">
        <v>1548</v>
      </c>
      <c r="C71" t="s">
        <v>1543</v>
      </c>
      <c r="E71" s="1" t="s">
        <v>1172</v>
      </c>
      <c r="G71" t="s">
        <v>1100</v>
      </c>
    </row>
    <row r="72" spans="1:7" ht="12.75">
      <c r="A72" s="1" t="s">
        <v>1551</v>
      </c>
      <c r="C72" t="s">
        <v>1541</v>
      </c>
      <c r="E72" s="1" t="s">
        <v>1129</v>
      </c>
      <c r="G72" t="s">
        <v>1107</v>
      </c>
    </row>
    <row r="73" spans="1:7" ht="12.75">
      <c r="A73" s="1" t="s">
        <v>1566</v>
      </c>
      <c r="C73" t="s">
        <v>1570</v>
      </c>
      <c r="E73" s="1" t="s">
        <v>1133</v>
      </c>
      <c r="G73" t="s">
        <v>1110</v>
      </c>
    </row>
    <row r="74" spans="1:7" ht="12.75">
      <c r="A74" s="1"/>
      <c r="E74" s="1" t="s">
        <v>1134</v>
      </c>
      <c r="G74" t="s">
        <v>1111</v>
      </c>
    </row>
    <row r="75" spans="1:7" ht="12.75">
      <c r="A75" s="1"/>
      <c r="E75" s="1" t="s">
        <v>1138</v>
      </c>
      <c r="G75" t="s">
        <v>1141</v>
      </c>
    </row>
    <row r="76" spans="1:7" ht="12.75">
      <c r="A76" s="1"/>
      <c r="E76" s="1" t="s">
        <v>1135</v>
      </c>
      <c r="G76" t="s">
        <v>1112</v>
      </c>
    </row>
    <row r="77" spans="1:7" ht="12.75">
      <c r="A77" s="1"/>
      <c r="E77" s="1" t="s">
        <v>1136</v>
      </c>
      <c r="G77" t="s">
        <v>1113</v>
      </c>
    </row>
    <row r="78" spans="1:7" ht="12.75">
      <c r="A78" s="1"/>
      <c r="E78" s="1" t="s">
        <v>1137</v>
      </c>
      <c r="G78" t="s">
        <v>1114</v>
      </c>
    </row>
    <row r="79" spans="1:7" ht="12.75">
      <c r="A79" s="1"/>
      <c r="E79" s="1" t="s">
        <v>630</v>
      </c>
      <c r="G79" t="s">
        <v>1142</v>
      </c>
    </row>
    <row r="80" spans="1:7" ht="12.75">
      <c r="A80" s="1"/>
      <c r="E80" s="1" t="s">
        <v>1152</v>
      </c>
      <c r="G80" t="s">
        <v>1149</v>
      </c>
    </row>
    <row r="81" spans="1:7" ht="12.75">
      <c r="A81" s="1"/>
      <c r="E81" s="1" t="s">
        <v>1108</v>
      </c>
      <c r="G81" t="s">
        <v>1163</v>
      </c>
    </row>
    <row r="82" spans="1:7" ht="12.75">
      <c r="A82" s="1"/>
      <c r="E82" s="1" t="s">
        <v>1199</v>
      </c>
      <c r="G82" t="s">
        <v>1177</v>
      </c>
    </row>
    <row r="83" spans="1:7" ht="12.75">
      <c r="A83" s="1"/>
      <c r="E83" s="1" t="s">
        <v>1202</v>
      </c>
      <c r="G83" t="s">
        <v>1179</v>
      </c>
    </row>
    <row r="84" spans="1:7" ht="12.75">
      <c r="A84" s="1"/>
      <c r="E84" s="1" t="s">
        <v>1205</v>
      </c>
      <c r="G84" t="s">
        <v>1180</v>
      </c>
    </row>
    <row r="85" spans="1:7" ht="12.75">
      <c r="A85" s="1"/>
      <c r="E85" s="1" t="s">
        <v>1203</v>
      </c>
      <c r="G85" t="s">
        <v>1181</v>
      </c>
    </row>
    <row r="86" spans="1:7" ht="12.75">
      <c r="A86" s="1"/>
      <c r="E86" s="1" t="s">
        <v>1200</v>
      </c>
      <c r="G86" t="s">
        <v>1182</v>
      </c>
    </row>
    <row r="87" spans="1:7" ht="12.75">
      <c r="A87" s="1"/>
      <c r="E87" s="1" t="s">
        <v>1204</v>
      </c>
      <c r="G87" t="s">
        <v>1183</v>
      </c>
    </row>
    <row r="88" spans="1:7" ht="12.75">
      <c r="A88" s="1"/>
      <c r="E88" s="1" t="s">
        <v>1206</v>
      </c>
      <c r="G88" t="s">
        <v>1184</v>
      </c>
    </row>
    <row r="89" spans="1:7" ht="12.75">
      <c r="A89" s="1"/>
      <c r="E89" s="1" t="s">
        <v>1208</v>
      </c>
      <c r="G89" t="s">
        <v>1185</v>
      </c>
    </row>
    <row r="90" spans="1:7" ht="12.75">
      <c r="A90" s="1"/>
      <c r="E90" s="1" t="s">
        <v>1244</v>
      </c>
      <c r="G90" t="s">
        <v>1186</v>
      </c>
    </row>
    <row r="91" spans="1:7" ht="12.75">
      <c r="A91" s="1"/>
      <c r="E91" s="1" t="s">
        <v>1245</v>
      </c>
      <c r="G91" t="s">
        <v>1187</v>
      </c>
    </row>
    <row r="92" spans="1:7" ht="12.75">
      <c r="A92" s="1"/>
      <c r="E92" s="1" t="s">
        <v>1247</v>
      </c>
      <c r="G92" t="s">
        <v>1188</v>
      </c>
    </row>
    <row r="93" spans="1:7" ht="12.75">
      <c r="A93" s="1"/>
      <c r="E93" s="1" t="s">
        <v>1275</v>
      </c>
      <c r="G93" t="s">
        <v>1189</v>
      </c>
    </row>
    <row r="94" spans="1:7" ht="12.75">
      <c r="A94" s="1"/>
      <c r="E94" s="1" t="s">
        <v>926</v>
      </c>
      <c r="G94" t="s">
        <v>1190</v>
      </c>
    </row>
    <row r="95" spans="1:7" ht="12.75">
      <c r="A95" s="1"/>
      <c r="E95" s="1" t="s">
        <v>1276</v>
      </c>
      <c r="G95" t="s">
        <v>1191</v>
      </c>
    </row>
    <row r="96" spans="1:7" ht="12.75">
      <c r="A96" s="1"/>
      <c r="E96" s="1" t="s">
        <v>1352</v>
      </c>
      <c r="G96" t="s">
        <v>1332</v>
      </c>
    </row>
    <row r="97" spans="1:7" ht="12.75">
      <c r="A97" s="1"/>
      <c r="E97" s="1" t="s">
        <v>1355</v>
      </c>
      <c r="G97" t="s">
        <v>1354</v>
      </c>
    </row>
    <row r="98" spans="1:7" ht="12.75">
      <c r="A98" s="1"/>
      <c r="E98" s="1" t="s">
        <v>1374</v>
      </c>
      <c r="G98" t="s">
        <v>1372</v>
      </c>
    </row>
    <row r="99" spans="1:7" ht="12.75">
      <c r="A99" s="1"/>
      <c r="E99" s="1" t="s">
        <v>927</v>
      </c>
      <c r="G99" t="s">
        <v>1389</v>
      </c>
    </row>
    <row r="100" spans="1:7" ht="12.75">
      <c r="A100" s="1"/>
      <c r="E100" s="1" t="s">
        <v>1447</v>
      </c>
      <c r="G100" t="s">
        <v>1428</v>
      </c>
    </row>
    <row r="101" spans="1:7" ht="12.75">
      <c r="A101" s="1"/>
      <c r="E101" s="1" t="s">
        <v>1442</v>
      </c>
      <c r="G101" t="s">
        <v>1439</v>
      </c>
    </row>
    <row r="102" spans="1:7" ht="12.75">
      <c r="A102" s="1"/>
      <c r="E102" s="1" t="s">
        <v>1505</v>
      </c>
      <c r="G102" t="s">
        <v>1460</v>
      </c>
    </row>
    <row r="103" spans="1:7" ht="12.75">
      <c r="A103" s="1"/>
      <c r="E103" s="1" t="s">
        <v>1506</v>
      </c>
      <c r="G103" t="s">
        <v>1465</v>
      </c>
    </row>
    <row r="104" spans="1:7" ht="12.75">
      <c r="A104" s="1"/>
      <c r="E104" s="1" t="s">
        <v>1507</v>
      </c>
      <c r="G104" t="s">
        <v>1503</v>
      </c>
    </row>
    <row r="105" spans="1:7" ht="12.75">
      <c r="A105" s="1"/>
      <c r="E105" s="1" t="s">
        <v>1508</v>
      </c>
      <c r="G105" t="s">
        <v>1525</v>
      </c>
    </row>
    <row r="106" spans="1:7" ht="12.75">
      <c r="A106" s="1"/>
      <c r="E106" s="1" t="s">
        <v>1511</v>
      </c>
      <c r="G106" t="s">
        <v>1528</v>
      </c>
    </row>
    <row r="107" spans="1:7" ht="12.75">
      <c r="A107" s="1"/>
      <c r="E107" s="1" t="s">
        <v>1509</v>
      </c>
      <c r="G107" t="s">
        <v>1526</v>
      </c>
    </row>
    <row r="108" spans="1:7" ht="12.75">
      <c r="A108" s="1"/>
      <c r="E108" s="1" t="s">
        <v>1510</v>
      </c>
      <c r="G108" t="s">
        <v>1527</v>
      </c>
    </row>
    <row r="109" spans="1:7" ht="12.75">
      <c r="A109" s="1"/>
      <c r="E109" s="1" t="s">
        <v>1512</v>
      </c>
      <c r="G109" t="s">
        <v>1535</v>
      </c>
    </row>
    <row r="110" spans="1:7" ht="12.75">
      <c r="A110" s="1"/>
      <c r="E110" s="1" t="s">
        <v>1540</v>
      </c>
      <c r="G110" t="s">
        <v>1537</v>
      </c>
    </row>
    <row r="111" spans="1:7" ht="12.75">
      <c r="A111" s="1"/>
      <c r="E111" s="1" t="s">
        <v>807</v>
      </c>
      <c r="G111" t="s">
        <v>1554</v>
      </c>
    </row>
    <row r="112" spans="1:5" ht="12.75">
      <c r="A112" s="1"/>
      <c r="E112" s="1"/>
    </row>
    <row r="113" spans="1:5" ht="12.75">
      <c r="A113" s="1"/>
      <c r="E113" s="1"/>
    </row>
    <row r="114" spans="1:5" ht="12.75">
      <c r="A114" s="1"/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0"/>
  </sheetPr>
  <dimension ref="A1:DA1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7.57421875" style="0" customWidth="1"/>
    <col min="10" max="10" width="7.57421875" style="0" customWidth="1"/>
    <col min="11" max="11" width="30.57421875" style="0" customWidth="1"/>
    <col min="12" max="12" width="6.28125" style="0" customWidth="1"/>
    <col min="13" max="13" width="7.57421875" style="0" customWidth="1"/>
    <col min="14" max="14" width="20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0.57421875" style="0" customWidth="1"/>
    <col min="90" max="90" width="62.140625" style="0" customWidth="1"/>
    <col min="91" max="91" width="13.421875" style="0" customWidth="1"/>
  </cols>
  <sheetData>
    <row r="1" spans="1:88" ht="12.75">
      <c r="A1" s="14"/>
      <c r="B1" s="18" t="s">
        <v>1482</v>
      </c>
      <c r="C1" s="4"/>
      <c r="D1" s="3"/>
      <c r="E1" s="4" t="s">
        <v>443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1409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302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1420</v>
      </c>
      <c r="B9" s="14" t="s">
        <v>1077</v>
      </c>
      <c r="C9" s="14" t="s">
        <v>558</v>
      </c>
      <c r="D9" s="14" t="s">
        <v>257</v>
      </c>
      <c r="E9" s="14" t="s">
        <v>280</v>
      </c>
      <c r="F9" s="2" t="s">
        <v>127</v>
      </c>
      <c r="G9" s="2">
        <v>2</v>
      </c>
      <c r="H9" t="s">
        <v>1482</v>
      </c>
      <c r="I9" t="s">
        <v>983</v>
      </c>
      <c r="J9" s="14" t="s">
        <v>326</v>
      </c>
      <c r="K9" s="2" t="s">
        <v>1489</v>
      </c>
      <c r="L9" s="14" t="s">
        <v>1477</v>
      </c>
      <c r="M9" s="14" t="s">
        <v>953</v>
      </c>
      <c r="N9" s="2" t="s">
        <v>276</v>
      </c>
      <c r="O9" s="10">
        <v>1</v>
      </c>
      <c r="P9" s="10"/>
      <c r="Q9" s="10"/>
      <c r="R9" s="9"/>
      <c r="S9" s="9"/>
      <c r="T9" s="9"/>
      <c r="U9" s="45">
        <v>32.400000000000006</v>
      </c>
      <c r="V9" s="45">
        <v>32.400000000000006</v>
      </c>
      <c r="W9" s="23"/>
      <c r="X9" s="6">
        <v>2.7</v>
      </c>
      <c r="AB9" s="45"/>
      <c r="AC9">
        <v>2</v>
      </c>
      <c r="AD9">
        <v>14</v>
      </c>
      <c r="AE9">
        <v>0</v>
      </c>
      <c r="AF9" s="23">
        <v>2.7</v>
      </c>
      <c r="AG9">
        <v>2</v>
      </c>
      <c r="AH9">
        <v>14</v>
      </c>
      <c r="AI9">
        <v>0</v>
      </c>
      <c r="AJ9" s="23">
        <v>2.7</v>
      </c>
      <c r="AK9" s="23"/>
      <c r="AU9" s="23"/>
      <c r="AX9" s="23">
        <v>2.7</v>
      </c>
      <c r="BC9" s="23"/>
      <c r="BS9" s="21"/>
      <c r="BW9" s="20">
        <v>32.400000000000006</v>
      </c>
      <c r="BX9" s="20">
        <v>32.400000000000006</v>
      </c>
      <c r="CJ9">
        <v>1420</v>
      </c>
      <c r="CK9" s="2" t="s">
        <v>1489</v>
      </c>
      <c r="CL9" t="s">
        <v>1039</v>
      </c>
    </row>
    <row r="11" spans="1:89" ht="12.75">
      <c r="A11" s="15">
        <v>1421</v>
      </c>
      <c r="B11" s="14" t="s">
        <v>1076</v>
      </c>
      <c r="C11" s="14" t="s">
        <v>558</v>
      </c>
      <c r="D11" s="14" t="s">
        <v>258</v>
      </c>
      <c r="E11" s="14" t="s">
        <v>279</v>
      </c>
      <c r="F11" s="2" t="s">
        <v>152</v>
      </c>
      <c r="G11" s="2">
        <v>1</v>
      </c>
      <c r="H11" s="2" t="s">
        <v>1482</v>
      </c>
      <c r="I11" s="2" t="s">
        <v>524</v>
      </c>
      <c r="J11" s="14" t="s">
        <v>326</v>
      </c>
      <c r="K11" s="2" t="s">
        <v>1485</v>
      </c>
      <c r="L11" s="14" t="s">
        <v>1477</v>
      </c>
      <c r="M11" s="14" t="s">
        <v>347</v>
      </c>
      <c r="N11" s="2" t="s">
        <v>276</v>
      </c>
      <c r="O11" s="10">
        <v>1</v>
      </c>
      <c r="P11" s="10"/>
      <c r="Q11" s="10"/>
      <c r="R11" s="9"/>
      <c r="S11" s="9"/>
      <c r="T11" s="9"/>
      <c r="U11" s="45">
        <v>31.200000000000003</v>
      </c>
      <c r="V11" s="45">
        <v>31.200000000000003</v>
      </c>
      <c r="W11" s="23"/>
      <c r="X11" s="6">
        <v>2.6</v>
      </c>
      <c r="AB11" s="45"/>
      <c r="AC11">
        <v>2</v>
      </c>
      <c r="AD11">
        <v>12</v>
      </c>
      <c r="AE11">
        <v>0</v>
      </c>
      <c r="AF11" s="23">
        <v>2.6</v>
      </c>
      <c r="AG11">
        <v>2</v>
      </c>
      <c r="AH11">
        <v>12</v>
      </c>
      <c r="AI11">
        <v>0</v>
      </c>
      <c r="AJ11" s="23">
        <v>2.6</v>
      </c>
      <c r="AU11" s="7"/>
      <c r="AV11" s="7"/>
      <c r="AX11" s="23">
        <v>2.6</v>
      </c>
      <c r="BP11" s="34"/>
      <c r="BS11" s="21"/>
      <c r="BW11" s="20">
        <v>31.200000000000003</v>
      </c>
      <c r="BX11" s="20">
        <v>31.200000000000003</v>
      </c>
      <c r="CJ11">
        <v>1421</v>
      </c>
      <c r="CK11" s="2" t="s">
        <v>1485</v>
      </c>
    </row>
    <row r="12" spans="1:89" ht="12.75">
      <c r="A12" s="15">
        <v>1421</v>
      </c>
      <c r="B12" s="14" t="s">
        <v>1076</v>
      </c>
      <c r="C12" s="14" t="s">
        <v>558</v>
      </c>
      <c r="D12" s="14" t="s">
        <v>258</v>
      </c>
      <c r="E12" s="14" t="s">
        <v>279</v>
      </c>
      <c r="F12" s="2" t="s">
        <v>153</v>
      </c>
      <c r="G12" s="2">
        <v>1</v>
      </c>
      <c r="H12" s="2" t="s">
        <v>1482</v>
      </c>
      <c r="I12" s="2" t="s">
        <v>831</v>
      </c>
      <c r="J12" s="14" t="s">
        <v>326</v>
      </c>
      <c r="K12" s="2" t="s">
        <v>1488</v>
      </c>
      <c r="L12" s="14" t="s">
        <v>1477</v>
      </c>
      <c r="M12" s="14" t="s">
        <v>745</v>
      </c>
      <c r="N12" s="2" t="s">
        <v>1363</v>
      </c>
      <c r="O12" s="10">
        <v>1</v>
      </c>
      <c r="P12" s="10"/>
      <c r="Q12" s="10"/>
      <c r="R12" s="9"/>
      <c r="S12" s="9"/>
      <c r="T12" s="9"/>
      <c r="U12" s="45">
        <v>31.200000000000003</v>
      </c>
      <c r="V12" s="45">
        <v>31.200000000000003</v>
      </c>
      <c r="W12" s="23"/>
      <c r="X12" s="6">
        <v>2.6</v>
      </c>
      <c r="AB12" s="45"/>
      <c r="AC12">
        <v>2</v>
      </c>
      <c r="AD12">
        <v>12</v>
      </c>
      <c r="AE12">
        <v>0</v>
      </c>
      <c r="AF12" s="23">
        <v>2.6</v>
      </c>
      <c r="AG12">
        <v>2</v>
      </c>
      <c r="AH12">
        <v>12</v>
      </c>
      <c r="AI12">
        <v>0</v>
      </c>
      <c r="AJ12" s="23">
        <v>2.6</v>
      </c>
      <c r="AU12" s="7"/>
      <c r="AV12" s="7"/>
      <c r="BE12" s="23">
        <v>2.6</v>
      </c>
      <c r="BF12" s="23"/>
      <c r="BG12" s="23">
        <v>2.6</v>
      </c>
      <c r="BP12" s="34"/>
      <c r="BS12" s="21"/>
      <c r="BW12" s="20">
        <v>31.200000000000003</v>
      </c>
      <c r="BX12" s="20">
        <v>31.200000000000003</v>
      </c>
      <c r="CJ12">
        <v>1421</v>
      </c>
      <c r="CK12" s="2" t="s">
        <v>1488</v>
      </c>
    </row>
    <row r="14" spans="1:90" ht="12.75">
      <c r="A14" s="15">
        <v>1421</v>
      </c>
      <c r="B14" s="14" t="s">
        <v>1076</v>
      </c>
      <c r="C14" s="14" t="s">
        <v>558</v>
      </c>
      <c r="D14" s="14" t="s">
        <v>258</v>
      </c>
      <c r="E14" s="14" t="s">
        <v>279</v>
      </c>
      <c r="F14" s="2" t="s">
        <v>154</v>
      </c>
      <c r="G14" s="2">
        <v>2</v>
      </c>
      <c r="H14" s="2" t="s">
        <v>1482</v>
      </c>
      <c r="I14" s="2" t="s">
        <v>512</v>
      </c>
      <c r="J14" s="14" t="s">
        <v>326</v>
      </c>
      <c r="K14" s="2" t="s">
        <v>1486</v>
      </c>
      <c r="L14" s="14" t="s">
        <v>1477</v>
      </c>
      <c r="M14" s="14" t="s">
        <v>351</v>
      </c>
      <c r="N14" s="2" t="s">
        <v>1478</v>
      </c>
      <c r="O14" s="10">
        <v>1</v>
      </c>
      <c r="P14" s="10">
        <v>6</v>
      </c>
      <c r="Q14" s="10"/>
      <c r="R14" s="9"/>
      <c r="S14" s="9"/>
      <c r="T14" s="9"/>
      <c r="U14" s="45">
        <v>37.2</v>
      </c>
      <c r="V14" s="45">
        <v>31.200000000000003</v>
      </c>
      <c r="W14" s="23">
        <v>20</v>
      </c>
      <c r="X14" s="6">
        <v>2.6</v>
      </c>
      <c r="AB14" s="45"/>
      <c r="AC14">
        <v>2</v>
      </c>
      <c r="AD14">
        <v>22</v>
      </c>
      <c r="AE14">
        <v>0</v>
      </c>
      <c r="AF14" s="23">
        <v>3.1</v>
      </c>
      <c r="AG14">
        <v>2</v>
      </c>
      <c r="AH14">
        <v>12</v>
      </c>
      <c r="AI14">
        <v>0</v>
      </c>
      <c r="AJ14" s="23">
        <v>2.6</v>
      </c>
      <c r="AK14" s="23">
        <v>1.6666666666666667</v>
      </c>
      <c r="AU14" s="7"/>
      <c r="AV14" s="7"/>
      <c r="BG14" s="23">
        <v>2.6</v>
      </c>
      <c r="BP14" s="34"/>
      <c r="BS14" s="21"/>
      <c r="BW14" s="20">
        <v>37.2</v>
      </c>
      <c r="BX14" s="20">
        <v>31.200000000000003</v>
      </c>
      <c r="CJ14">
        <v>1421</v>
      </c>
      <c r="CK14" s="2" t="s">
        <v>1486</v>
      </c>
      <c r="CL14" t="s">
        <v>18</v>
      </c>
    </row>
    <row r="16" spans="1:89" ht="12.75">
      <c r="A16" s="15">
        <v>1422</v>
      </c>
      <c r="B16" s="14" t="s">
        <v>952</v>
      </c>
      <c r="C16" s="14" t="s">
        <v>558</v>
      </c>
      <c r="D16" s="14" t="s">
        <v>258</v>
      </c>
      <c r="E16" s="14" t="s">
        <v>282</v>
      </c>
      <c r="F16" s="2" t="s">
        <v>162</v>
      </c>
      <c r="G16" s="2">
        <v>1</v>
      </c>
      <c r="H16" s="2" t="s">
        <v>1482</v>
      </c>
      <c r="I16" s="2" t="s">
        <v>1492</v>
      </c>
      <c r="J16" s="14" t="s">
        <v>326</v>
      </c>
      <c r="K16" s="2" t="s">
        <v>1488</v>
      </c>
      <c r="L16" s="14" t="s">
        <v>1477</v>
      </c>
      <c r="M16" s="14" t="s">
        <v>745</v>
      </c>
      <c r="N16" s="2" t="s">
        <v>276</v>
      </c>
      <c r="O16" s="10">
        <v>1</v>
      </c>
      <c r="P16" s="10"/>
      <c r="Q16" s="10"/>
      <c r="R16" s="9"/>
      <c r="S16" s="9"/>
      <c r="T16" s="9"/>
      <c r="U16" s="45">
        <v>31.200000000000003</v>
      </c>
      <c r="V16" s="45">
        <v>31.200000000000003</v>
      </c>
      <c r="W16" s="23"/>
      <c r="X16" s="6">
        <v>2.6</v>
      </c>
      <c r="AB16" s="45"/>
      <c r="AC16">
        <v>2</v>
      </c>
      <c r="AD16">
        <v>12</v>
      </c>
      <c r="AE16">
        <v>0</v>
      </c>
      <c r="AF16" s="23">
        <v>2.6</v>
      </c>
      <c r="AG16">
        <v>2</v>
      </c>
      <c r="AH16">
        <v>12</v>
      </c>
      <c r="AI16">
        <v>0</v>
      </c>
      <c r="AJ16" s="23">
        <v>2.6</v>
      </c>
      <c r="AU16" s="7"/>
      <c r="AV16" s="7"/>
      <c r="AX16" s="23">
        <v>2.6</v>
      </c>
      <c r="BB16" s="23"/>
      <c r="BP16" s="34"/>
      <c r="BS16" s="21"/>
      <c r="BW16" s="20">
        <v>31.200000000000003</v>
      </c>
      <c r="BX16" s="20">
        <v>31.200000000000003</v>
      </c>
      <c r="CJ16">
        <v>1422</v>
      </c>
      <c r="CK16" s="2" t="s">
        <v>1488</v>
      </c>
    </row>
    <row r="17" spans="1:89" ht="12.75">
      <c r="A17" s="15">
        <v>1422</v>
      </c>
      <c r="B17" s="14" t="s">
        <v>952</v>
      </c>
      <c r="C17" s="14" t="s">
        <v>558</v>
      </c>
      <c r="D17" s="14" t="s">
        <v>258</v>
      </c>
      <c r="E17" s="14" t="s">
        <v>282</v>
      </c>
      <c r="F17" s="2" t="s">
        <v>163</v>
      </c>
      <c r="G17" s="2">
        <v>1</v>
      </c>
      <c r="H17" s="2" t="s">
        <v>1482</v>
      </c>
      <c r="I17" s="2" t="s">
        <v>1491</v>
      </c>
      <c r="J17" s="14" t="s">
        <v>326</v>
      </c>
      <c r="K17" s="2" t="s">
        <v>1484</v>
      </c>
      <c r="L17" s="14" t="s">
        <v>1477</v>
      </c>
      <c r="M17" s="14" t="s">
        <v>327</v>
      </c>
      <c r="N17" s="2" t="s">
        <v>1362</v>
      </c>
      <c r="O17" s="10">
        <v>1</v>
      </c>
      <c r="P17" s="10"/>
      <c r="Q17" s="10"/>
      <c r="R17" s="9"/>
      <c r="S17" s="9"/>
      <c r="T17" s="9"/>
      <c r="U17" s="45">
        <v>31.200000000000003</v>
      </c>
      <c r="V17" s="45">
        <v>31.200000000000003</v>
      </c>
      <c r="W17" s="23"/>
      <c r="X17" s="6">
        <v>2.6</v>
      </c>
      <c r="AB17" s="45"/>
      <c r="AC17">
        <v>2</v>
      </c>
      <c r="AD17">
        <v>12</v>
      </c>
      <c r="AE17">
        <v>0</v>
      </c>
      <c r="AF17" s="23">
        <v>2.6</v>
      </c>
      <c r="AG17">
        <v>2</v>
      </c>
      <c r="AH17">
        <v>12</v>
      </c>
      <c r="AI17">
        <v>0</v>
      </c>
      <c r="AJ17" s="23">
        <v>2.6</v>
      </c>
      <c r="AU17" s="7"/>
      <c r="AV17" s="7"/>
      <c r="BE17" s="23">
        <v>2.6</v>
      </c>
      <c r="BP17" s="34"/>
      <c r="BS17" s="21"/>
      <c r="BW17" s="20">
        <v>31.200000000000003</v>
      </c>
      <c r="BX17" s="20">
        <v>31.200000000000003</v>
      </c>
      <c r="CJ17">
        <v>1422</v>
      </c>
      <c r="CK17" s="2" t="s">
        <v>1484</v>
      </c>
    </row>
    <row r="19" spans="1:89" ht="12.75">
      <c r="A19" s="15">
        <v>1422</v>
      </c>
      <c r="B19" s="14" t="s">
        <v>952</v>
      </c>
      <c r="C19" s="14" t="s">
        <v>558</v>
      </c>
      <c r="D19" s="14" t="s">
        <v>258</v>
      </c>
      <c r="E19" s="14" t="s">
        <v>282</v>
      </c>
      <c r="F19" s="2" t="s">
        <v>164</v>
      </c>
      <c r="G19" s="2">
        <v>2</v>
      </c>
      <c r="H19" s="2" t="s">
        <v>1482</v>
      </c>
      <c r="I19" s="2" t="s">
        <v>1491</v>
      </c>
      <c r="J19" s="14" t="s">
        <v>326</v>
      </c>
      <c r="K19" s="2" t="s">
        <v>1484</v>
      </c>
      <c r="L19" s="14" t="s">
        <v>1477</v>
      </c>
      <c r="M19" s="14" t="s">
        <v>327</v>
      </c>
      <c r="N19" s="2" t="s">
        <v>1478</v>
      </c>
      <c r="O19" s="10">
        <v>3</v>
      </c>
      <c r="P19" s="10"/>
      <c r="Q19" s="10"/>
      <c r="R19" s="9"/>
      <c r="S19" s="9"/>
      <c r="T19" s="9"/>
      <c r="U19" s="45">
        <v>93.6</v>
      </c>
      <c r="V19" s="45">
        <v>31.200000000000003</v>
      </c>
      <c r="W19" s="23"/>
      <c r="X19" s="6">
        <v>2.6</v>
      </c>
      <c r="AB19" s="45"/>
      <c r="AC19">
        <v>2</v>
      </c>
      <c r="AD19">
        <v>12</v>
      </c>
      <c r="AE19">
        <v>0</v>
      </c>
      <c r="AF19" s="23">
        <v>2.6</v>
      </c>
      <c r="AG19">
        <v>2</v>
      </c>
      <c r="AH19">
        <v>12</v>
      </c>
      <c r="AI19">
        <v>0</v>
      </c>
      <c r="AJ19" s="23">
        <v>2.6</v>
      </c>
      <c r="AU19" s="7"/>
      <c r="AV19" s="7"/>
      <c r="BF19" s="23"/>
      <c r="BG19" s="23">
        <v>2.6</v>
      </c>
      <c r="BP19" s="34"/>
      <c r="BS19" s="21"/>
      <c r="BW19" s="20">
        <v>93.6</v>
      </c>
      <c r="BX19" s="20">
        <v>31.200000000000003</v>
      </c>
      <c r="CJ19">
        <v>1422</v>
      </c>
      <c r="CK19" s="2" t="s">
        <v>1484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0"/>
  </sheetPr>
  <dimension ref="A2:CK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7.8515625" style="0" customWidth="1"/>
    <col min="4" max="4" width="5.57421875" style="0" customWidth="1"/>
    <col min="5" max="5" width="6.7109375" style="0" customWidth="1"/>
    <col min="6" max="7" width="8.421875" style="0" customWidth="1"/>
    <col min="8" max="8" width="12.00390625" style="0" customWidth="1"/>
    <col min="9" max="9" width="11.8515625" style="0" customWidth="1"/>
    <col min="10" max="10" width="7.421875" style="0" customWidth="1"/>
    <col min="11" max="11" width="18.57421875" style="0" customWidth="1"/>
    <col min="12" max="12" width="6.140625" style="0" customWidth="1"/>
    <col min="13" max="13" width="7.7109375" style="0" customWidth="1"/>
    <col min="14" max="14" width="10.57421875" style="0" customWidth="1"/>
    <col min="15" max="15" width="9.57421875" style="0" customWidth="1"/>
    <col min="16" max="17" width="8.421875" style="0" customWidth="1"/>
    <col min="18" max="20" width="13.421875" style="0" customWidth="1"/>
    <col min="21" max="21" width="12.8515625" style="0" customWidth="1"/>
    <col min="22" max="22" width="13.421875" style="0" customWidth="1"/>
    <col min="23" max="23" width="15.7109375" style="0" customWidth="1"/>
    <col min="24" max="24" width="13.57421875" style="0" customWidth="1"/>
    <col min="25" max="28" width="13.421875" style="0" customWidth="1"/>
    <col min="29" max="32" width="11.421875" style="0" customWidth="1"/>
    <col min="33" max="36" width="13.421875" style="0" customWidth="1"/>
    <col min="37" max="37" width="11.8515625" style="0" customWidth="1"/>
    <col min="38" max="38" width="12.57421875" style="0" customWidth="1"/>
    <col min="39" max="46" width="13.421875" style="0" customWidth="1"/>
    <col min="47" max="47" width="10.8515625" style="0" customWidth="1"/>
    <col min="48" max="48" width="11.140625" style="0" customWidth="1"/>
    <col min="49" max="49" width="12.00390625" style="0" customWidth="1"/>
    <col min="50" max="52" width="8.28125" style="0" customWidth="1"/>
    <col min="53" max="53" width="12.28125" style="0" customWidth="1"/>
    <col min="54" max="54" width="10.140625" style="0" customWidth="1"/>
    <col min="55" max="55" width="8.57421875" style="0" customWidth="1"/>
    <col min="56" max="56" width="12.421875" style="0" customWidth="1"/>
    <col min="57" max="57" width="10.00390625" style="0" customWidth="1"/>
    <col min="58" max="58" width="8.57421875" style="0" customWidth="1"/>
    <col min="59" max="59" width="8.28125" style="0" customWidth="1"/>
    <col min="61" max="61" width="8.8515625" style="0" customWidth="1"/>
    <col min="62" max="62" width="10.8515625" style="0" customWidth="1"/>
    <col min="63" max="63" width="13.140625" style="0" customWidth="1"/>
    <col min="64" max="64" width="7.8515625" style="0" customWidth="1"/>
    <col min="65" max="65" width="9.421875" style="0" customWidth="1"/>
    <col min="66" max="66" width="9.7109375" style="0" customWidth="1"/>
    <col min="67" max="67" width="10.00390625" style="0" customWidth="1"/>
    <col min="68" max="68" width="10.8515625" style="0" customWidth="1"/>
    <col min="69" max="69" width="7.8515625" style="0" customWidth="1"/>
    <col min="70" max="70" width="10.00390625" style="0" customWidth="1"/>
    <col min="71" max="71" width="13.7109375" style="0" customWidth="1"/>
    <col min="72" max="74" width="18.8515625" style="0" customWidth="1"/>
    <col min="76" max="76" width="9.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4.28125" style="0" customWidth="1"/>
    <col min="83" max="83" width="13.7109375" style="0" customWidth="1"/>
    <col min="84" max="84" width="18.7109375" style="0" customWidth="1"/>
    <col min="85" max="85" width="9.7109375" style="0" customWidth="1"/>
    <col min="86" max="86" width="13.140625" style="0" customWidth="1"/>
    <col min="87" max="87" width="12.421875" style="0" customWidth="1"/>
    <col min="88" max="88" width="5.140625" style="0" customWidth="1"/>
    <col min="89" max="89" width="20.8515625" style="0" customWidth="1"/>
    <col min="90" max="90" width="9.00390625" style="0" customWidth="1"/>
    <col min="91" max="91" width="12.8515625" style="0" customWidth="1"/>
  </cols>
  <sheetData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5"/>
      <c r="V2" s="45"/>
      <c r="X2" s="23"/>
      <c r="AB2" s="45"/>
      <c r="AF2" s="23"/>
      <c r="AJ2" s="6"/>
      <c r="AP2" s="34"/>
      <c r="AQ2" s="19"/>
      <c r="AR2" s="19"/>
      <c r="AS2" s="19"/>
      <c r="AT2" s="19"/>
      <c r="AX2" s="6"/>
      <c r="BG2" s="7"/>
      <c r="BP2" s="45"/>
      <c r="BQ2" s="36"/>
      <c r="BR2" s="36"/>
      <c r="BS2" s="21"/>
      <c r="BT2" s="34"/>
      <c r="BU2" s="34"/>
      <c r="BV2" s="36"/>
      <c r="BW2" s="34"/>
      <c r="BX2" s="45"/>
      <c r="CK2" s="2"/>
    </row>
    <row r="3" ht="12.75">
      <c r="BW3" s="34"/>
    </row>
    <row r="4" spans="1:89" ht="12.75">
      <c r="A4" s="15"/>
      <c r="B4" s="14"/>
      <c r="C4" s="14"/>
      <c r="D4" s="14"/>
      <c r="E4" s="14"/>
      <c r="F4" s="2"/>
      <c r="G4" s="2"/>
      <c r="H4" s="2"/>
      <c r="I4" s="2"/>
      <c r="J4" s="14"/>
      <c r="K4" s="2"/>
      <c r="L4" s="14"/>
      <c r="M4" s="14"/>
      <c r="N4" s="2"/>
      <c r="O4" s="10"/>
      <c r="P4" s="10"/>
      <c r="Q4" s="10"/>
      <c r="R4" s="9"/>
      <c r="S4" s="9"/>
      <c r="T4" s="9"/>
      <c r="U4" s="45"/>
      <c r="V4" s="45"/>
      <c r="W4" s="23"/>
      <c r="X4" s="23"/>
      <c r="AB4" s="45"/>
      <c r="AF4" s="23"/>
      <c r="AJ4" s="6"/>
      <c r="AK4" s="23"/>
      <c r="BG4" s="7"/>
      <c r="BP4" s="45"/>
      <c r="BQ4" s="36"/>
      <c r="BR4" s="36"/>
      <c r="BS4" s="21"/>
      <c r="BT4" s="34"/>
      <c r="BU4" s="34"/>
      <c r="BV4" s="36"/>
      <c r="BW4" s="45"/>
      <c r="BX4" s="45"/>
      <c r="CK4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5"/>
      <c r="V5" s="45"/>
      <c r="W5" s="23"/>
      <c r="X5" s="23"/>
      <c r="AB5" s="45"/>
      <c r="AF5" s="23"/>
      <c r="AJ5" s="6"/>
      <c r="AK5" s="23"/>
      <c r="AX5" s="6"/>
      <c r="BG5" s="7"/>
      <c r="BP5" s="45"/>
      <c r="BQ5" s="36"/>
      <c r="BR5" s="36"/>
      <c r="BS5" s="21"/>
      <c r="BT5" s="34"/>
      <c r="BU5" s="34"/>
      <c r="BV5" s="36"/>
      <c r="BW5" s="45"/>
      <c r="BX5" s="45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5"/>
      <c r="V6" s="45"/>
      <c r="W6" s="23"/>
      <c r="X6" s="23"/>
      <c r="AB6" s="45"/>
      <c r="AF6" s="23"/>
      <c r="AJ6" s="6"/>
      <c r="AK6" s="23"/>
      <c r="BG6" s="7"/>
      <c r="BP6" s="45"/>
      <c r="BQ6" s="36"/>
      <c r="BR6" s="36"/>
      <c r="BS6" s="21"/>
      <c r="BT6" s="34"/>
      <c r="BU6" s="34"/>
      <c r="BV6" s="36"/>
      <c r="BW6" s="45"/>
      <c r="BX6" s="45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5"/>
      <c r="V8" s="45"/>
      <c r="W8" s="23"/>
      <c r="X8" s="23"/>
      <c r="AB8" s="45"/>
      <c r="AF8" s="23"/>
      <c r="AJ8" s="6"/>
      <c r="AP8" s="34"/>
      <c r="AQ8" s="19"/>
      <c r="AR8" s="19"/>
      <c r="AS8" s="19"/>
      <c r="AT8" s="19"/>
      <c r="AU8" s="6"/>
      <c r="BG8" s="7"/>
      <c r="BP8" s="45"/>
      <c r="BQ8" s="36"/>
      <c r="BR8" s="36"/>
      <c r="BS8" s="21"/>
      <c r="BT8" s="34"/>
      <c r="BU8" s="34"/>
      <c r="BV8" s="36"/>
      <c r="BW8" s="45"/>
      <c r="BX8" s="45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5"/>
      <c r="V9" s="45"/>
      <c r="W9" s="23"/>
      <c r="X9" s="23"/>
      <c r="AB9" s="45"/>
      <c r="AF9" s="23"/>
      <c r="AJ9" s="6"/>
      <c r="AP9" s="34"/>
      <c r="AQ9" s="19"/>
      <c r="AR9" s="19"/>
      <c r="AS9" s="19"/>
      <c r="AT9" s="19"/>
      <c r="BG9" s="6"/>
      <c r="BP9" s="45"/>
      <c r="BQ9" s="36"/>
      <c r="BR9" s="36"/>
      <c r="BS9" s="21"/>
      <c r="BT9" s="34"/>
      <c r="BU9" s="34"/>
      <c r="BV9" s="36"/>
      <c r="BW9" s="45"/>
      <c r="BX9" s="45"/>
      <c r="CB9" s="23"/>
      <c r="CK9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X1" s="23"/>
      <c r="AB1" s="45"/>
      <c r="AJ1" s="7"/>
      <c r="AW1" s="7"/>
      <c r="BD1" s="7"/>
      <c r="BE1" s="19"/>
      <c r="BF1" s="19"/>
      <c r="BW1" s="45"/>
      <c r="BX1" s="45"/>
      <c r="CJ1" s="14"/>
      <c r="CK1" s="2"/>
    </row>
    <row r="2" spans="1:89" ht="12.75">
      <c r="A2" s="15"/>
      <c r="B2" s="14"/>
      <c r="C2" s="14"/>
      <c r="D2" s="14"/>
      <c r="E2" s="14"/>
      <c r="F2" s="2"/>
      <c r="G2" s="2"/>
      <c r="H2" s="2"/>
      <c r="I2" s="2"/>
      <c r="J2" s="14"/>
      <c r="K2" s="2"/>
      <c r="L2" s="14"/>
      <c r="M2" s="14"/>
      <c r="N2" s="2"/>
      <c r="O2" s="10"/>
      <c r="P2" s="10"/>
      <c r="Q2" s="10"/>
      <c r="R2" s="9"/>
      <c r="S2" s="9"/>
      <c r="T2" s="9"/>
      <c r="U2" s="45"/>
      <c r="V2" s="45"/>
      <c r="X2" s="23"/>
      <c r="AB2" s="45"/>
      <c r="AJ2" s="7"/>
      <c r="AW2" s="7"/>
      <c r="BD2" s="7"/>
      <c r="BE2" s="19"/>
      <c r="BF2" s="19"/>
      <c r="BW2" s="45"/>
      <c r="BX2" s="45"/>
      <c r="CJ2" s="14"/>
      <c r="CK2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5"/>
      <c r="V3" s="45"/>
      <c r="X3" s="23"/>
      <c r="AB3" s="45"/>
      <c r="AJ3" s="7"/>
      <c r="AW3" s="7"/>
      <c r="BD3" s="7"/>
      <c r="BE3" s="19"/>
      <c r="BF3" s="19"/>
      <c r="BW3" s="45"/>
      <c r="BX3" s="45"/>
      <c r="CJ3" s="14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5"/>
      <c r="V5" s="45"/>
      <c r="W5" s="45"/>
      <c r="X5" s="23"/>
      <c r="AB5" s="45"/>
      <c r="AJ5" s="7"/>
      <c r="AK5" s="23"/>
      <c r="BD5" s="7"/>
      <c r="BE5" s="19"/>
      <c r="BF5" s="19"/>
      <c r="BS5" s="21"/>
      <c r="BW5" s="45"/>
      <c r="BX5" s="45"/>
      <c r="CJ5" s="16"/>
      <c r="CK5" s="2"/>
    </row>
    <row r="6" spans="1:89" ht="12.75">
      <c r="A6" s="15"/>
      <c r="B6" s="14"/>
      <c r="C6" s="14"/>
      <c r="D6" s="14"/>
      <c r="E6" s="14"/>
      <c r="F6" s="2"/>
      <c r="G6" s="2"/>
      <c r="H6" s="2"/>
      <c r="I6" s="2"/>
      <c r="J6" s="14"/>
      <c r="K6" s="2"/>
      <c r="L6" s="14"/>
      <c r="M6" s="14"/>
      <c r="N6" s="2"/>
      <c r="O6" s="10"/>
      <c r="P6" s="10"/>
      <c r="Q6" s="10"/>
      <c r="R6" s="9"/>
      <c r="S6" s="9"/>
      <c r="T6" s="9"/>
      <c r="U6" s="45"/>
      <c r="V6" s="45"/>
      <c r="W6" s="45"/>
      <c r="X6" s="23"/>
      <c r="AB6" s="45"/>
      <c r="AJ6" s="7"/>
      <c r="AK6" s="23"/>
      <c r="BD6" s="7"/>
      <c r="BE6" s="19"/>
      <c r="BF6" s="19"/>
      <c r="BS6" s="21"/>
      <c r="BW6" s="45"/>
      <c r="BX6" s="45"/>
      <c r="CJ6" s="16"/>
      <c r="CK6" s="2"/>
    </row>
    <row r="8" spans="1:89" ht="12.75">
      <c r="A8" s="15"/>
      <c r="B8" s="14"/>
      <c r="C8" s="14"/>
      <c r="D8" s="14"/>
      <c r="E8" s="14"/>
      <c r="F8" s="2"/>
      <c r="G8" s="2"/>
      <c r="H8" s="2"/>
      <c r="I8" s="2"/>
      <c r="J8" s="14"/>
      <c r="K8" s="2"/>
      <c r="L8" s="14"/>
      <c r="M8" s="14"/>
      <c r="N8" s="2"/>
      <c r="O8" s="10"/>
      <c r="P8" s="10"/>
      <c r="Q8" s="10"/>
      <c r="R8" s="9"/>
      <c r="S8" s="9"/>
      <c r="T8" s="9"/>
      <c r="U8" s="45"/>
      <c r="V8" s="45"/>
      <c r="X8" s="23"/>
      <c r="AB8" s="45"/>
      <c r="AJ8" s="7"/>
      <c r="BD8" s="7"/>
      <c r="BE8" s="19"/>
      <c r="BF8" s="19"/>
      <c r="BS8" s="21"/>
      <c r="BW8" s="45"/>
      <c r="BX8" s="45"/>
      <c r="CJ8" s="16"/>
      <c r="CK8" s="2"/>
    </row>
    <row r="9" spans="1:89" ht="12.75">
      <c r="A9" s="15"/>
      <c r="B9" s="14"/>
      <c r="C9" s="14"/>
      <c r="D9" s="14"/>
      <c r="E9" s="14"/>
      <c r="F9" s="2"/>
      <c r="G9" s="2"/>
      <c r="H9" s="2"/>
      <c r="I9" s="2"/>
      <c r="J9" s="14"/>
      <c r="K9" s="2"/>
      <c r="L9" s="14"/>
      <c r="M9" s="14"/>
      <c r="N9" s="2"/>
      <c r="O9" s="10"/>
      <c r="P9" s="10"/>
      <c r="Q9" s="10"/>
      <c r="R9" s="9"/>
      <c r="S9" s="9"/>
      <c r="T9" s="9"/>
      <c r="U9" s="45"/>
      <c r="V9" s="45"/>
      <c r="X9" s="23"/>
      <c r="AB9" s="45"/>
      <c r="AJ9" s="7"/>
      <c r="BD9" s="7"/>
      <c r="BE9" s="19"/>
      <c r="BF9" s="19"/>
      <c r="BS9" s="21"/>
      <c r="BW9" s="45"/>
      <c r="BX9" s="45"/>
      <c r="CJ9" s="16"/>
      <c r="CK9" s="2"/>
    </row>
    <row r="10" spans="1:89" ht="12.75">
      <c r="A10" s="15"/>
      <c r="B10" s="14"/>
      <c r="C10" s="14"/>
      <c r="D10" s="14"/>
      <c r="E10" s="14"/>
      <c r="F10" s="2"/>
      <c r="G10" s="2"/>
      <c r="H10" s="2"/>
      <c r="I10" s="2"/>
      <c r="J10" s="14"/>
      <c r="K10" s="2"/>
      <c r="L10" s="14"/>
      <c r="M10" s="14"/>
      <c r="N10" s="2"/>
      <c r="O10" s="10"/>
      <c r="P10" s="10"/>
      <c r="Q10" s="10"/>
      <c r="R10" s="9"/>
      <c r="S10" s="9"/>
      <c r="T10" s="9"/>
      <c r="U10" s="45"/>
      <c r="V10" s="45"/>
      <c r="X10" s="23"/>
      <c r="AB10" s="45"/>
      <c r="AJ10" s="7"/>
      <c r="BD10" s="7"/>
      <c r="BE10" s="19"/>
      <c r="BF10" s="19"/>
      <c r="BS10" s="21"/>
      <c r="BW10" s="45"/>
      <c r="BX10" s="45"/>
      <c r="CJ10" s="16"/>
      <c r="CK10" s="2"/>
    </row>
    <row r="11" spans="1:89" ht="12.75">
      <c r="A11" s="15"/>
      <c r="B11" s="14"/>
      <c r="C11" s="14"/>
      <c r="D11" s="14"/>
      <c r="E11" s="14"/>
      <c r="F11" s="2"/>
      <c r="G11" s="2"/>
      <c r="H11" s="2"/>
      <c r="I11" s="2"/>
      <c r="J11" s="14"/>
      <c r="K11" s="2"/>
      <c r="L11" s="14"/>
      <c r="M11" s="14"/>
      <c r="N11" s="2"/>
      <c r="O11" s="10"/>
      <c r="P11" s="10"/>
      <c r="Q11" s="10"/>
      <c r="R11" s="9"/>
      <c r="S11" s="9"/>
      <c r="T11" s="9"/>
      <c r="U11" s="45"/>
      <c r="V11" s="45"/>
      <c r="X11" s="23"/>
      <c r="AB11" s="45"/>
      <c r="AJ11" s="7"/>
      <c r="BD11" s="7"/>
      <c r="BE11" s="19"/>
      <c r="BF11" s="19"/>
      <c r="BS11" s="21"/>
      <c r="BW11" s="45"/>
      <c r="BX11" s="45"/>
      <c r="CJ11" s="16"/>
      <c r="CK11" s="2"/>
    </row>
    <row r="12" spans="1:89" ht="12.75">
      <c r="A12" s="15"/>
      <c r="B12" s="14"/>
      <c r="C12" s="14"/>
      <c r="D12" s="14"/>
      <c r="E12" s="14"/>
      <c r="F12" s="2"/>
      <c r="G12" s="2"/>
      <c r="H12" s="2"/>
      <c r="I12" s="2"/>
      <c r="J12" s="14"/>
      <c r="K12" s="2"/>
      <c r="L12" s="14"/>
      <c r="M12" s="14"/>
      <c r="N12" s="2"/>
      <c r="O12" s="10"/>
      <c r="P12" s="10"/>
      <c r="Q12" s="10"/>
      <c r="R12" s="9"/>
      <c r="S12" s="9"/>
      <c r="T12" s="9"/>
      <c r="U12" s="45"/>
      <c r="V12" s="45"/>
      <c r="X12" s="23"/>
      <c r="AB12" s="45"/>
      <c r="AJ12" s="7"/>
      <c r="BD12" s="7"/>
      <c r="BE12" s="19"/>
      <c r="BF12" s="19"/>
      <c r="BS12" s="21"/>
      <c r="BW12" s="45"/>
      <c r="BX12" s="45"/>
      <c r="CJ12" s="16"/>
      <c r="CK12" s="2"/>
    </row>
    <row r="13" spans="1:89" ht="12.75">
      <c r="A13" s="15"/>
      <c r="B13" s="14"/>
      <c r="C13" s="14"/>
      <c r="D13" s="14"/>
      <c r="E13" s="14"/>
      <c r="F13" s="2"/>
      <c r="G13" s="2"/>
      <c r="H13" s="2"/>
      <c r="I13" s="2"/>
      <c r="J13" s="14"/>
      <c r="K13" s="2"/>
      <c r="L13" s="14"/>
      <c r="M13" s="14"/>
      <c r="N13" s="2"/>
      <c r="O13" s="10"/>
      <c r="P13" s="10"/>
      <c r="Q13" s="10"/>
      <c r="R13" s="9"/>
      <c r="S13" s="9"/>
      <c r="T13" s="9"/>
      <c r="U13" s="45"/>
      <c r="V13" s="45"/>
      <c r="X13" s="23"/>
      <c r="AB13" s="45"/>
      <c r="AJ13" s="7"/>
      <c r="BD13" s="7"/>
      <c r="BE13" s="19"/>
      <c r="BF13" s="19"/>
      <c r="BL13" s="45"/>
      <c r="BQ13" s="38"/>
      <c r="BR13" s="38"/>
      <c r="BS13" s="21"/>
      <c r="BW13" s="45"/>
      <c r="BX13" s="45"/>
      <c r="CJ13" s="16"/>
      <c r="CK13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1.421875" style="0" customWidth="1"/>
    <col min="10" max="10" width="7.57421875" style="0" customWidth="1"/>
    <col min="11" max="11" width="22.5742187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2.71093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3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W1" s="23"/>
      <c r="X1" s="23"/>
      <c r="AB1" s="45"/>
      <c r="AJ1" s="7"/>
      <c r="BC1" s="7"/>
      <c r="BW1" s="45"/>
      <c r="BX1" s="45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X1" s="23"/>
      <c r="AB1" s="45"/>
      <c r="AJ1" s="7"/>
      <c r="BW1" s="45"/>
      <c r="BX1" s="45"/>
      <c r="CJ1" s="16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6"/>
  </sheetPr>
  <dimension ref="A1:CK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X1" s="23"/>
      <c r="AF1" s="23"/>
      <c r="AJ1" s="6"/>
      <c r="AK1" s="23"/>
      <c r="BB1" s="7"/>
      <c r="BG1" s="6"/>
      <c r="BP1" s="45"/>
      <c r="BQ1" s="36"/>
      <c r="BR1" s="36"/>
      <c r="BS1" s="21"/>
      <c r="BT1" s="34"/>
      <c r="BU1" s="34"/>
      <c r="BV1" s="36"/>
      <c r="BW1" s="45"/>
      <c r="BX1" s="45"/>
      <c r="CK1" s="2"/>
    </row>
    <row r="3" spans="1:89" ht="12.75">
      <c r="A3" s="15"/>
      <c r="B3" s="14"/>
      <c r="C3" s="14"/>
      <c r="D3" s="14"/>
      <c r="E3" s="14"/>
      <c r="F3" s="2"/>
      <c r="G3" s="2"/>
      <c r="H3" s="2"/>
      <c r="I3" s="2"/>
      <c r="J3" s="14"/>
      <c r="K3" s="2"/>
      <c r="L3" s="14"/>
      <c r="M3" s="14"/>
      <c r="N3" s="2"/>
      <c r="O3" s="10"/>
      <c r="P3" s="10"/>
      <c r="Q3" s="10"/>
      <c r="R3" s="9"/>
      <c r="S3" s="9"/>
      <c r="T3" s="9"/>
      <c r="U3" s="45"/>
      <c r="V3" s="45"/>
      <c r="X3" s="23"/>
      <c r="AF3" s="23"/>
      <c r="AJ3" s="6"/>
      <c r="BG3" s="6"/>
      <c r="BP3" s="45"/>
      <c r="BQ3" s="36"/>
      <c r="BR3" s="36"/>
      <c r="BS3" s="21"/>
      <c r="BT3" s="34"/>
      <c r="BU3" s="34"/>
      <c r="BV3" s="36"/>
      <c r="BW3" s="45"/>
      <c r="BX3" s="45"/>
      <c r="CK3" s="2"/>
    </row>
    <row r="5" spans="1:89" ht="12.75">
      <c r="A5" s="15"/>
      <c r="B5" s="14"/>
      <c r="C5" s="14"/>
      <c r="D5" s="14"/>
      <c r="E5" s="14"/>
      <c r="F5" s="2"/>
      <c r="G5" s="2"/>
      <c r="H5" s="2"/>
      <c r="I5" s="2"/>
      <c r="J5" s="14"/>
      <c r="K5" s="2"/>
      <c r="L5" s="14"/>
      <c r="M5" s="14"/>
      <c r="N5" s="2"/>
      <c r="O5" s="10"/>
      <c r="P5" s="10"/>
      <c r="Q5" s="10"/>
      <c r="R5" s="9"/>
      <c r="S5" s="9"/>
      <c r="T5" s="9"/>
      <c r="U5" s="45"/>
      <c r="V5" s="45"/>
      <c r="W5" s="23"/>
      <c r="X5" s="23"/>
      <c r="AB5" s="45"/>
      <c r="AF5" s="23"/>
      <c r="AJ5" s="6"/>
      <c r="AK5" s="23"/>
      <c r="BG5" s="6"/>
      <c r="BP5" s="45"/>
      <c r="BQ5" s="36"/>
      <c r="BR5" s="36"/>
      <c r="BS5" s="21"/>
      <c r="BT5" s="34"/>
      <c r="BU5" s="34"/>
      <c r="BV5" s="36"/>
      <c r="BW5" s="45"/>
      <c r="BX5" s="45"/>
      <c r="CK5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8"/>
  </sheetPr>
  <dimension ref="A1:BX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9.710937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76" ht="12.75">
      <c r="A1" s="15"/>
      <c r="B1" s="14"/>
      <c r="C1" s="14"/>
      <c r="D1" s="14"/>
      <c r="E1" s="14"/>
      <c r="F1" s="2"/>
      <c r="G1" s="2"/>
      <c r="H1" s="2"/>
      <c r="I1" s="24"/>
      <c r="J1" s="14"/>
      <c r="L1" s="14"/>
      <c r="M1" s="14"/>
      <c r="N1" s="2"/>
      <c r="O1" s="10"/>
      <c r="P1" s="10"/>
      <c r="Q1" s="10"/>
      <c r="R1" s="26"/>
      <c r="S1" s="9"/>
      <c r="T1" s="9"/>
      <c r="U1" s="45"/>
      <c r="V1" s="45"/>
      <c r="X1" s="23"/>
      <c r="Y1" s="13"/>
      <c r="Z1" s="13"/>
      <c r="AA1" s="13"/>
      <c r="AC1" s="13"/>
      <c r="AD1" s="13"/>
      <c r="AE1" s="13"/>
      <c r="AF1" s="23"/>
      <c r="AJ1" s="23"/>
      <c r="AM1" s="19"/>
      <c r="AN1" s="19"/>
      <c r="AO1" s="19"/>
      <c r="AY1" s="6"/>
      <c r="BD1" s="23"/>
      <c r="BL1" s="34"/>
      <c r="BM1" s="34"/>
      <c r="BN1" s="34"/>
      <c r="BP1" s="23"/>
      <c r="BQ1" s="36"/>
      <c r="BR1" s="36"/>
      <c r="BS1" s="21"/>
      <c r="BT1" s="34"/>
      <c r="BV1" s="36"/>
      <c r="BW1" s="45"/>
      <c r="BX1" s="45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229"/>
  <sheetViews>
    <sheetView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1" max="1" width="44.140625" style="0" customWidth="1"/>
    <col min="2" max="2" width="79.28125" style="0" customWidth="1"/>
  </cols>
  <sheetData>
    <row r="1" ht="12.75">
      <c r="A1" s="1" t="s">
        <v>501</v>
      </c>
    </row>
    <row r="3" spans="1:2" ht="12.75">
      <c r="A3" s="1" t="s">
        <v>1087</v>
      </c>
      <c r="B3" s="1" t="s">
        <v>693</v>
      </c>
    </row>
    <row r="5" spans="1:2" ht="12.75">
      <c r="A5" t="s">
        <v>298</v>
      </c>
      <c r="B5" t="s">
        <v>1387</v>
      </c>
    </row>
    <row r="6" spans="1:2" ht="12.75">
      <c r="A6" t="s">
        <v>364</v>
      </c>
      <c r="B6" t="s">
        <v>363</v>
      </c>
    </row>
    <row r="7" spans="1:2" ht="12.75">
      <c r="A7" t="s">
        <v>533</v>
      </c>
      <c r="B7" t="s">
        <v>540</v>
      </c>
    </row>
    <row r="8" spans="1:2" ht="12.75">
      <c r="A8" t="s">
        <v>401</v>
      </c>
      <c r="B8" t="s">
        <v>876</v>
      </c>
    </row>
    <row r="9" spans="1:2" ht="12.75">
      <c r="A9" t="s">
        <v>549</v>
      </c>
      <c r="B9" t="s">
        <v>45</v>
      </c>
    </row>
    <row r="10" spans="1:2" ht="12.75">
      <c r="A10" t="s">
        <v>553</v>
      </c>
      <c r="B10" t="s">
        <v>937</v>
      </c>
    </row>
    <row r="11" spans="1:2" ht="12.75">
      <c r="A11" t="s">
        <v>569</v>
      </c>
      <c r="B11" t="s">
        <v>892</v>
      </c>
    </row>
    <row r="12" spans="1:2" ht="12.75">
      <c r="A12" t="s">
        <v>608</v>
      </c>
      <c r="B12" t="s">
        <v>970</v>
      </c>
    </row>
    <row r="13" spans="1:2" ht="12.75">
      <c r="A13" t="s">
        <v>609</v>
      </c>
      <c r="B13" t="s">
        <v>3</v>
      </c>
    </row>
    <row r="14" spans="1:2" ht="12.75">
      <c r="A14" t="s">
        <v>635</v>
      </c>
      <c r="B14" t="s">
        <v>315</v>
      </c>
    </row>
    <row r="15" spans="1:2" ht="12.75">
      <c r="A15" t="s">
        <v>638</v>
      </c>
      <c r="B15" t="s">
        <v>854</v>
      </c>
    </row>
    <row r="16" spans="1:2" ht="12.75">
      <c r="A16" t="s">
        <v>672</v>
      </c>
      <c r="B16" t="s">
        <v>1357</v>
      </c>
    </row>
    <row r="17" spans="1:2" ht="12.75">
      <c r="A17" t="s">
        <v>764</v>
      </c>
      <c r="B17" t="s">
        <v>1317</v>
      </c>
    </row>
    <row r="18" spans="1:2" ht="12.75">
      <c r="A18" t="s">
        <v>770</v>
      </c>
      <c r="B18" t="s">
        <v>1388</v>
      </c>
    </row>
    <row r="19" spans="1:2" ht="12.75">
      <c r="A19" t="s">
        <v>813</v>
      </c>
      <c r="B19" t="s">
        <v>1531</v>
      </c>
    </row>
    <row r="20" spans="1:2" ht="12.75">
      <c r="A20" t="s">
        <v>858</v>
      </c>
      <c r="B20" t="s">
        <v>852</v>
      </c>
    </row>
    <row r="21" spans="1:2" ht="12.75">
      <c r="A21" t="s">
        <v>873</v>
      </c>
      <c r="B21" t="s">
        <v>555</v>
      </c>
    </row>
    <row r="22" spans="1:2" ht="12.75">
      <c r="A22" t="s">
        <v>875</v>
      </c>
      <c r="B22" t="s">
        <v>554</v>
      </c>
    </row>
    <row r="23" spans="1:2" ht="12.75">
      <c r="A23" t="s">
        <v>890</v>
      </c>
      <c r="B23" t="s">
        <v>888</v>
      </c>
    </row>
    <row r="24" spans="1:2" ht="12.75">
      <c r="A24" t="s">
        <v>893</v>
      </c>
      <c r="B24" t="s">
        <v>325</v>
      </c>
    </row>
    <row r="25" spans="1:2" ht="12.75">
      <c r="A25" t="s">
        <v>913</v>
      </c>
      <c r="B25" t="s">
        <v>1118</v>
      </c>
    </row>
    <row r="26" spans="1:2" ht="12.75">
      <c r="A26" t="s">
        <v>948</v>
      </c>
      <c r="B26" t="s">
        <v>903</v>
      </c>
    </row>
    <row r="27" spans="1:2" ht="12.75">
      <c r="A27" t="s">
        <v>957</v>
      </c>
      <c r="B27" t="s">
        <v>659</v>
      </c>
    </row>
    <row r="28" spans="1:2" ht="12.75">
      <c r="A28" t="s">
        <v>979</v>
      </c>
      <c r="B28" t="s">
        <v>980</v>
      </c>
    </row>
    <row r="29" spans="1:2" ht="12.75">
      <c r="A29" t="s">
        <v>1116</v>
      </c>
      <c r="B29" t="s">
        <v>1117</v>
      </c>
    </row>
    <row r="30" spans="1:2" ht="12.75">
      <c r="A30" t="s">
        <v>1169</v>
      </c>
      <c r="B30" t="s">
        <v>1414</v>
      </c>
    </row>
    <row r="31" spans="1:2" ht="12.75">
      <c r="A31" t="s">
        <v>1193</v>
      </c>
      <c r="B31" t="s">
        <v>1192</v>
      </c>
    </row>
    <row r="32" spans="1:2" ht="12.75">
      <c r="A32" t="s">
        <v>1211</v>
      </c>
      <c r="B32" t="s">
        <v>894</v>
      </c>
    </row>
    <row r="33" spans="1:2" ht="12.75">
      <c r="A33" t="s">
        <v>1194</v>
      </c>
      <c r="B33" t="s">
        <v>886</v>
      </c>
    </row>
    <row r="34" spans="1:2" ht="12.75">
      <c r="A34" t="s">
        <v>1220</v>
      </c>
      <c r="B34" t="s">
        <v>1416</v>
      </c>
    </row>
    <row r="35" spans="1:2" ht="12.75">
      <c r="A35" t="s">
        <v>1294</v>
      </c>
      <c r="B35" t="s">
        <v>1155</v>
      </c>
    </row>
    <row r="36" spans="1:2" ht="12.75">
      <c r="A36" t="s">
        <v>1297</v>
      </c>
      <c r="B36" t="s">
        <v>949</v>
      </c>
    </row>
    <row r="37" spans="1:2" ht="12.75">
      <c r="A37" t="s">
        <v>1302</v>
      </c>
      <c r="B37" t="s">
        <v>1319</v>
      </c>
    </row>
    <row r="38" spans="1:2" ht="12.75">
      <c r="A38" t="s">
        <v>1305</v>
      </c>
      <c r="B38" t="s">
        <v>1338</v>
      </c>
    </row>
    <row r="39" spans="1:2" ht="12.75">
      <c r="A39" t="s">
        <v>1316</v>
      </c>
      <c r="B39" t="s">
        <v>1315</v>
      </c>
    </row>
    <row r="40" spans="1:2" ht="12.75">
      <c r="A40" t="s">
        <v>1344</v>
      </c>
      <c r="B40" t="s">
        <v>564</v>
      </c>
    </row>
    <row r="41" spans="1:2" ht="12.75">
      <c r="A41" t="s">
        <v>1345</v>
      </c>
      <c r="B41" t="s">
        <v>1170</v>
      </c>
    </row>
    <row r="42" spans="1:2" ht="12.75">
      <c r="A42" t="s">
        <v>1369</v>
      </c>
      <c r="B42" t="s">
        <v>1366</v>
      </c>
    </row>
    <row r="43" spans="1:2" ht="12.75">
      <c r="A43" t="s">
        <v>1373</v>
      </c>
      <c r="B43" t="s">
        <v>1377</v>
      </c>
    </row>
    <row r="44" spans="1:2" ht="12.75">
      <c r="A44" t="s">
        <v>1420</v>
      </c>
      <c r="B44" t="s">
        <v>1415</v>
      </c>
    </row>
    <row r="45" spans="1:2" ht="12.75">
      <c r="A45" t="s">
        <v>1446</v>
      </c>
      <c r="B45" t="s">
        <v>885</v>
      </c>
    </row>
    <row r="46" spans="1:2" ht="12.75">
      <c r="A46" t="s">
        <v>1458</v>
      </c>
      <c r="B46" t="s">
        <v>743</v>
      </c>
    </row>
    <row r="47" spans="1:2" ht="12.75">
      <c r="A47" t="s">
        <v>1470</v>
      </c>
      <c r="B47" t="s">
        <v>1472</v>
      </c>
    </row>
    <row r="48" spans="1:2" ht="12.75">
      <c r="A48" t="s">
        <v>1480</v>
      </c>
      <c r="B48" t="s">
        <v>1532</v>
      </c>
    </row>
    <row r="49" spans="1:2" ht="12.75">
      <c r="A49" t="s">
        <v>1466</v>
      </c>
      <c r="B49" t="s">
        <v>1474</v>
      </c>
    </row>
    <row r="50" spans="1:2" ht="12.75">
      <c r="A50" t="s">
        <v>1493</v>
      </c>
      <c r="B50" t="s">
        <v>1386</v>
      </c>
    </row>
    <row r="51" spans="1:2" ht="12.75">
      <c r="A51" t="s">
        <v>1498</v>
      </c>
      <c r="B51" t="s">
        <v>552</v>
      </c>
    </row>
    <row r="52" spans="1:2" ht="12.75">
      <c r="A52" t="s">
        <v>1502</v>
      </c>
      <c r="B52" t="s">
        <v>1475</v>
      </c>
    </row>
    <row r="54" ht="12.75">
      <c r="A54" s="1" t="s">
        <v>1150</v>
      </c>
    </row>
    <row r="56" spans="1:2" ht="12.75">
      <c r="A56" t="s">
        <v>369</v>
      </c>
      <c r="B56" t="s">
        <v>368</v>
      </c>
    </row>
    <row r="57" spans="1:2" ht="12.75">
      <c r="A57" t="s">
        <v>509</v>
      </c>
      <c r="B57" t="s">
        <v>508</v>
      </c>
    </row>
    <row r="58" spans="1:2" ht="12.75">
      <c r="A58" t="s">
        <v>427</v>
      </c>
      <c r="B58" t="s">
        <v>519</v>
      </c>
    </row>
    <row r="59" spans="1:2" ht="12.75">
      <c r="A59" t="s">
        <v>548</v>
      </c>
      <c r="B59" t="s">
        <v>547</v>
      </c>
    </row>
    <row r="60" spans="1:2" ht="12.75">
      <c r="A60" t="s">
        <v>604</v>
      </c>
      <c r="B60" t="s">
        <v>895</v>
      </c>
    </row>
    <row r="61" spans="1:2" ht="12.75">
      <c r="A61" t="s">
        <v>619</v>
      </c>
      <c r="B61" t="s">
        <v>897</v>
      </c>
    </row>
    <row r="62" spans="1:2" ht="12.75">
      <c r="A62" t="s">
        <v>641</v>
      </c>
      <c r="B62" t="s">
        <v>640</v>
      </c>
    </row>
    <row r="63" spans="1:2" ht="12.75">
      <c r="A63" t="s">
        <v>646</v>
      </c>
      <c r="B63" t="s">
        <v>648</v>
      </c>
    </row>
    <row r="64" spans="1:2" ht="12.75">
      <c r="A64" t="s">
        <v>656</v>
      </c>
      <c r="B64" t="s">
        <v>653</v>
      </c>
    </row>
    <row r="65" spans="1:2" ht="12.75">
      <c r="A65" t="s">
        <v>669</v>
      </c>
      <c r="B65" t="s">
        <v>667</v>
      </c>
    </row>
    <row r="66" spans="1:2" ht="12.75">
      <c r="A66" t="s">
        <v>666</v>
      </c>
      <c r="B66" t="s">
        <v>665</v>
      </c>
    </row>
    <row r="67" spans="1:2" ht="12.75">
      <c r="A67" t="s">
        <v>683</v>
      </c>
      <c r="B67" t="s">
        <v>684</v>
      </c>
    </row>
    <row r="68" spans="1:2" ht="12.75">
      <c r="A68" t="s">
        <v>681</v>
      </c>
      <c r="B68" t="s">
        <v>682</v>
      </c>
    </row>
    <row r="69" spans="1:2" ht="12.75">
      <c r="A69" t="s">
        <v>791</v>
      </c>
      <c r="B69" t="s">
        <v>766</v>
      </c>
    </row>
    <row r="70" spans="1:2" ht="12.75">
      <c r="A70" t="s">
        <v>802</v>
      </c>
      <c r="B70" t="s">
        <v>801</v>
      </c>
    </row>
    <row r="71" spans="1:2" ht="12.75">
      <c r="A71" t="s">
        <v>856</v>
      </c>
      <c r="B71" t="s">
        <v>859</v>
      </c>
    </row>
    <row r="72" spans="1:2" ht="12.75">
      <c r="A72" t="s">
        <v>866</v>
      </c>
      <c r="B72" t="s">
        <v>43</v>
      </c>
    </row>
    <row r="73" spans="1:2" ht="12.75">
      <c r="A73" t="s">
        <v>868</v>
      </c>
      <c r="B73" t="s">
        <v>867</v>
      </c>
    </row>
    <row r="74" spans="1:2" ht="12.75">
      <c r="A74" t="s">
        <v>874</v>
      </c>
      <c r="B74" t="s">
        <v>1098</v>
      </c>
    </row>
    <row r="75" spans="1:2" ht="12.75">
      <c r="A75" t="s">
        <v>905</v>
      </c>
      <c r="B75" t="s">
        <v>904</v>
      </c>
    </row>
    <row r="76" spans="1:2" ht="12.75">
      <c r="A76" t="s">
        <v>916</v>
      </c>
      <c r="B76" t="s">
        <v>914</v>
      </c>
    </row>
    <row r="77" spans="1:2" ht="12.75">
      <c r="A77" t="s">
        <v>933</v>
      </c>
      <c r="B77" t="s">
        <v>934</v>
      </c>
    </row>
    <row r="78" spans="1:2" ht="12.75">
      <c r="A78" t="s">
        <v>947</v>
      </c>
      <c r="B78" t="s">
        <v>954</v>
      </c>
    </row>
    <row r="79" spans="1:2" ht="12.75">
      <c r="A79" t="s">
        <v>963</v>
      </c>
      <c r="B79" t="s">
        <v>1385</v>
      </c>
    </row>
    <row r="80" spans="1:2" ht="12.75">
      <c r="A80" t="s">
        <v>966</v>
      </c>
      <c r="B80" t="s">
        <v>967</v>
      </c>
    </row>
    <row r="81" spans="1:2" ht="12.75">
      <c r="A81" t="s">
        <v>972</v>
      </c>
      <c r="B81" t="s">
        <v>971</v>
      </c>
    </row>
    <row r="82" spans="1:2" ht="12.75">
      <c r="A82" t="s">
        <v>995</v>
      </c>
      <c r="B82" t="s">
        <v>989</v>
      </c>
    </row>
    <row r="83" spans="1:2" ht="12.75">
      <c r="A83" t="s">
        <v>998</v>
      </c>
      <c r="B83" t="s">
        <v>1000</v>
      </c>
    </row>
    <row r="84" spans="1:2" ht="12.75">
      <c r="A84" t="s">
        <v>987</v>
      </c>
      <c r="B84" t="s">
        <v>992</v>
      </c>
    </row>
    <row r="85" spans="1:2" ht="12.75">
      <c r="A85" t="s">
        <v>1064</v>
      </c>
      <c r="B85" t="s">
        <v>1065</v>
      </c>
    </row>
    <row r="86" spans="1:2" ht="12.75">
      <c r="A86" t="s">
        <v>1066</v>
      </c>
      <c r="B86" t="s">
        <v>1063</v>
      </c>
    </row>
    <row r="87" spans="1:2" ht="12.75">
      <c r="A87" t="s">
        <v>1099</v>
      </c>
      <c r="B87" t="s">
        <v>1098</v>
      </c>
    </row>
    <row r="88" spans="1:2" ht="12.75">
      <c r="A88" t="s">
        <v>1214</v>
      </c>
      <c r="B88" t="s">
        <v>1213</v>
      </c>
    </row>
    <row r="89" spans="1:2" ht="12.75">
      <c r="A89" t="s">
        <v>1223</v>
      </c>
      <c r="B89" t="s">
        <v>1222</v>
      </c>
    </row>
    <row r="90" spans="1:2" ht="12.75">
      <c r="A90" t="s">
        <v>1264</v>
      </c>
      <c r="B90" t="s">
        <v>1253</v>
      </c>
    </row>
    <row r="91" spans="1:2" ht="12.75">
      <c r="A91" t="s">
        <v>1341</v>
      </c>
      <c r="B91" t="s">
        <v>1273</v>
      </c>
    </row>
    <row r="92" spans="1:2" ht="12.75">
      <c r="A92" t="s">
        <v>1431</v>
      </c>
      <c r="B92" t="s">
        <v>1432</v>
      </c>
    </row>
    <row r="93" spans="1:2" ht="12.75">
      <c r="A93" t="s">
        <v>1436</v>
      </c>
      <c r="B93" t="s">
        <v>1435</v>
      </c>
    </row>
    <row r="94" spans="1:2" ht="12.75">
      <c r="A94" t="s">
        <v>1459</v>
      </c>
      <c r="B94" t="s">
        <v>1444</v>
      </c>
    </row>
    <row r="95" spans="1:2" ht="12.75">
      <c r="A95" t="s">
        <v>1481</v>
      </c>
      <c r="B95" t="s">
        <v>1483</v>
      </c>
    </row>
    <row r="96" spans="1:2" ht="12.75">
      <c r="A96" t="s">
        <v>1545</v>
      </c>
      <c r="B96" t="s">
        <v>879</v>
      </c>
    </row>
    <row r="97" spans="1:2" ht="12.75">
      <c r="A97" t="s">
        <v>1561</v>
      </c>
      <c r="B97" t="s">
        <v>741</v>
      </c>
    </row>
    <row r="98" spans="1:2" ht="12.75">
      <c r="A98" t="s">
        <v>1568</v>
      </c>
      <c r="B98" t="s">
        <v>1565</v>
      </c>
    </row>
    <row r="100" ht="12.75">
      <c r="A100" s="1" t="s">
        <v>1382</v>
      </c>
    </row>
    <row r="102" spans="1:2" ht="12.75">
      <c r="A102" t="s">
        <v>367</v>
      </c>
      <c r="B102" t="s">
        <v>718</v>
      </c>
    </row>
    <row r="103" spans="1:2" ht="12.75">
      <c r="A103" t="s">
        <v>370</v>
      </c>
      <c r="B103" t="s">
        <v>734</v>
      </c>
    </row>
    <row r="104" spans="1:2" ht="12.75">
      <c r="A104" t="s">
        <v>371</v>
      </c>
      <c r="B104" t="s">
        <v>1160</v>
      </c>
    </row>
    <row r="105" spans="1:2" ht="12.75">
      <c r="A105" t="s">
        <v>405</v>
      </c>
      <c r="B105" t="s">
        <v>412</v>
      </c>
    </row>
    <row r="106" spans="1:2" ht="12.75">
      <c r="A106" t="s">
        <v>543</v>
      </c>
      <c r="B106" t="s">
        <v>576</v>
      </c>
    </row>
    <row r="107" spans="1:2" ht="12.75">
      <c r="A107" t="s">
        <v>551</v>
      </c>
      <c r="B107" t="s">
        <v>575</v>
      </c>
    </row>
    <row r="108" spans="1:2" ht="12.75">
      <c r="A108" t="s">
        <v>566</v>
      </c>
      <c r="B108" t="s">
        <v>578</v>
      </c>
    </row>
    <row r="109" spans="1:2" ht="12.75">
      <c r="A109" t="s">
        <v>610</v>
      </c>
      <c r="B109" t="s">
        <v>1325</v>
      </c>
    </row>
    <row r="110" spans="1:2" ht="12.75">
      <c r="A110" t="s">
        <v>617</v>
      </c>
      <c r="B110" t="s">
        <v>1400</v>
      </c>
    </row>
    <row r="111" spans="1:2" ht="12.75">
      <c r="A111" t="s">
        <v>618</v>
      </c>
      <c r="B111" t="s">
        <v>1307</v>
      </c>
    </row>
    <row r="112" spans="1:2" ht="12.75">
      <c r="A112" t="s">
        <v>644</v>
      </c>
      <c r="B112" t="s">
        <v>936</v>
      </c>
    </row>
    <row r="113" spans="1:2" ht="12.75">
      <c r="A113" t="s">
        <v>657</v>
      </c>
      <c r="B113" t="s">
        <v>670</v>
      </c>
    </row>
    <row r="114" spans="1:2" ht="12.75">
      <c r="A114" t="s">
        <v>671</v>
      </c>
      <c r="B114" t="s">
        <v>292</v>
      </c>
    </row>
    <row r="115" spans="1:2" ht="12.75">
      <c r="A115" t="s">
        <v>690</v>
      </c>
      <c r="B115" t="s">
        <v>689</v>
      </c>
    </row>
    <row r="116" spans="1:2" ht="12.75">
      <c r="A116" t="s">
        <v>768</v>
      </c>
      <c r="B116" t="s">
        <v>1515</v>
      </c>
    </row>
    <row r="117" spans="1:2" ht="12.75">
      <c r="A117" t="s">
        <v>769</v>
      </c>
      <c r="B117" t="s">
        <v>3</v>
      </c>
    </row>
    <row r="118" spans="1:2" ht="12.75">
      <c r="A118" t="s">
        <v>771</v>
      </c>
      <c r="B118" t="s">
        <v>1326</v>
      </c>
    </row>
    <row r="119" spans="1:2" ht="12.75">
      <c r="A119" t="s">
        <v>772</v>
      </c>
      <c r="B119" t="s">
        <v>675</v>
      </c>
    </row>
    <row r="120" spans="1:2" ht="12.75">
      <c r="A120" t="s">
        <v>773</v>
      </c>
      <c r="B120" t="s">
        <v>1424</v>
      </c>
    </row>
    <row r="121" spans="1:2" ht="12.75">
      <c r="A121" t="s">
        <v>775</v>
      </c>
      <c r="B121" t="s">
        <v>1306</v>
      </c>
    </row>
    <row r="122" spans="1:2" ht="12.75">
      <c r="A122" t="s">
        <v>782</v>
      </c>
      <c r="B122" t="s">
        <v>961</v>
      </c>
    </row>
    <row r="123" spans="1:2" ht="12.75">
      <c r="A123" t="s">
        <v>792</v>
      </c>
      <c r="B123" t="s">
        <v>1395</v>
      </c>
    </row>
    <row r="124" spans="1:2" ht="12.75">
      <c r="A124" t="s">
        <v>793</v>
      </c>
      <c r="B124" t="s">
        <v>1324</v>
      </c>
    </row>
    <row r="125" spans="1:2" ht="12.75">
      <c r="A125" t="s">
        <v>795</v>
      </c>
      <c r="B125" t="s">
        <v>1322</v>
      </c>
    </row>
    <row r="126" spans="1:2" ht="12.75">
      <c r="A126" t="s">
        <v>796</v>
      </c>
      <c r="B126" t="s">
        <v>673</v>
      </c>
    </row>
    <row r="127" spans="1:2" ht="12.75">
      <c r="A127" t="s">
        <v>797</v>
      </c>
      <c r="B127" t="s">
        <v>1280</v>
      </c>
    </row>
    <row r="128" spans="1:2" ht="12.75">
      <c r="A128" t="s">
        <v>862</v>
      </c>
      <c r="B128" t="s">
        <v>857</v>
      </c>
    </row>
    <row r="129" spans="1:2" ht="12.75">
      <c r="A129" t="s">
        <v>891</v>
      </c>
      <c r="B129" t="s">
        <v>582</v>
      </c>
    </row>
    <row r="130" spans="1:2" ht="12.75">
      <c r="A130" t="s">
        <v>898</v>
      </c>
      <c r="B130" t="s">
        <v>577</v>
      </c>
    </row>
    <row r="131" spans="1:2" ht="12.75">
      <c r="A131" t="s">
        <v>899</v>
      </c>
      <c r="B131" t="s">
        <v>1530</v>
      </c>
    </row>
    <row r="132" spans="1:2" ht="12.75">
      <c r="A132" t="s">
        <v>900</v>
      </c>
      <c r="B132" t="s">
        <v>500</v>
      </c>
    </row>
    <row r="133" spans="1:2" ht="12.75">
      <c r="A133" t="s">
        <v>901</v>
      </c>
      <c r="B133" t="s">
        <v>902</v>
      </c>
    </row>
    <row r="134" spans="1:2" ht="12.75">
      <c r="A134" t="s">
        <v>962</v>
      </c>
      <c r="B134" t="s">
        <v>1393</v>
      </c>
    </row>
    <row r="135" spans="1:2" ht="12.75">
      <c r="A135" t="s">
        <v>973</v>
      </c>
      <c r="B135" t="s">
        <v>1396</v>
      </c>
    </row>
    <row r="136" spans="1:2" ht="12.75">
      <c r="A136" t="s">
        <v>978</v>
      </c>
      <c r="B136" t="s">
        <v>44</v>
      </c>
    </row>
    <row r="137" spans="1:2" ht="12.75">
      <c r="A137" t="s">
        <v>1091</v>
      </c>
      <c r="B137" t="s">
        <v>1072</v>
      </c>
    </row>
    <row r="138" spans="1:2" ht="12.75">
      <c r="A138" t="s">
        <v>1103</v>
      </c>
      <c r="B138" t="s">
        <v>1105</v>
      </c>
    </row>
    <row r="139" spans="1:2" ht="12.75">
      <c r="A139" t="s">
        <v>1154</v>
      </c>
      <c r="B139" t="s">
        <v>1153</v>
      </c>
    </row>
    <row r="140" spans="1:2" ht="12.75">
      <c r="A140" t="s">
        <v>1195</v>
      </c>
      <c r="B140" t="s">
        <v>1401</v>
      </c>
    </row>
    <row r="141" spans="1:2" ht="12.75">
      <c r="A141" t="s">
        <v>1270</v>
      </c>
      <c r="B141" t="s">
        <v>1533</v>
      </c>
    </row>
    <row r="142" spans="1:2" ht="12.75">
      <c r="A142" t="s">
        <v>1282</v>
      </c>
      <c r="B142" t="s">
        <v>1290</v>
      </c>
    </row>
    <row r="143" spans="1:2" ht="12.75">
      <c r="A143" t="s">
        <v>1298</v>
      </c>
      <c r="B143" t="s">
        <v>1398</v>
      </c>
    </row>
    <row r="144" spans="1:2" ht="12.75">
      <c r="A144" t="s">
        <v>1292</v>
      </c>
      <c r="B144" t="s">
        <v>1399</v>
      </c>
    </row>
    <row r="145" spans="1:2" ht="12.75">
      <c r="A145" t="s">
        <v>1331</v>
      </c>
      <c r="B145" t="s">
        <v>1330</v>
      </c>
    </row>
    <row r="146" spans="1:2" ht="12.75">
      <c r="A146" t="s">
        <v>1333</v>
      </c>
      <c r="B146" t="s">
        <v>1054</v>
      </c>
    </row>
    <row r="147" spans="1:2" ht="12.75">
      <c r="A147" t="s">
        <v>1356</v>
      </c>
      <c r="B147" t="s">
        <v>674</v>
      </c>
    </row>
    <row r="148" spans="1:2" ht="12.75">
      <c r="A148" t="s">
        <v>1346</v>
      </c>
      <c r="B148" t="s">
        <v>1144</v>
      </c>
    </row>
    <row r="149" spans="1:2" ht="12.75">
      <c r="A149" t="s">
        <v>1349</v>
      </c>
      <c r="B149" t="s">
        <v>1353</v>
      </c>
    </row>
    <row r="150" spans="1:2" ht="12.75">
      <c r="A150" t="s">
        <v>1419</v>
      </c>
      <c r="B150" t="s">
        <v>1145</v>
      </c>
    </row>
    <row r="151" spans="1:2" ht="12.75">
      <c r="A151" t="s">
        <v>1429</v>
      </c>
      <c r="B151" t="s">
        <v>1391</v>
      </c>
    </row>
    <row r="152" spans="1:2" ht="12.75">
      <c r="A152" t="s">
        <v>1440</v>
      </c>
      <c r="B152" t="s">
        <v>1397</v>
      </c>
    </row>
    <row r="153" spans="1:2" ht="12.75">
      <c r="A153" t="s">
        <v>1441</v>
      </c>
      <c r="B153" t="s">
        <v>1394</v>
      </c>
    </row>
    <row r="154" spans="1:2" ht="12.75">
      <c r="A154" t="s">
        <v>1452</v>
      </c>
      <c r="B154" t="s">
        <v>736</v>
      </c>
    </row>
    <row r="155" spans="1:2" ht="12.75">
      <c r="A155" t="s">
        <v>1455</v>
      </c>
      <c r="B155" t="s">
        <v>932</v>
      </c>
    </row>
    <row r="156" spans="1:2" ht="12.75">
      <c r="A156" t="s">
        <v>1457</v>
      </c>
      <c r="B156" t="s">
        <v>301</v>
      </c>
    </row>
    <row r="157" spans="1:2" ht="12.75">
      <c r="A157" t="s">
        <v>1469</v>
      </c>
      <c r="B157" t="s">
        <v>1473</v>
      </c>
    </row>
    <row r="158" spans="1:2" ht="12.75">
      <c r="A158" t="s">
        <v>1501</v>
      </c>
      <c r="B158" t="s">
        <v>1529</v>
      </c>
    </row>
    <row r="159" spans="1:2" ht="12.75">
      <c r="A159" t="s">
        <v>1534</v>
      </c>
      <c r="B159" t="s">
        <v>1392</v>
      </c>
    </row>
    <row r="160" spans="1:2" ht="12.75">
      <c r="A160" t="s">
        <v>1516</v>
      </c>
      <c r="B160" t="s">
        <v>563</v>
      </c>
    </row>
    <row r="161" spans="1:2" ht="12.75">
      <c r="A161" t="s">
        <v>1536</v>
      </c>
      <c r="B161" t="s">
        <v>562</v>
      </c>
    </row>
    <row r="162" spans="1:2" ht="12.75">
      <c r="A162" t="s">
        <v>1542</v>
      </c>
      <c r="B162" t="s">
        <v>573</v>
      </c>
    </row>
    <row r="163" spans="1:2" ht="12.75">
      <c r="A163" t="s">
        <v>1544</v>
      </c>
      <c r="B163" t="s">
        <v>961</v>
      </c>
    </row>
    <row r="164" spans="1:2" ht="12.75">
      <c r="A164" t="s">
        <v>1553</v>
      </c>
      <c r="B164" t="s">
        <v>742</v>
      </c>
    </row>
    <row r="165" spans="1:2" ht="12.75">
      <c r="A165" t="s">
        <v>1562</v>
      </c>
      <c r="B165" t="s">
        <v>1308</v>
      </c>
    </row>
    <row r="166" spans="1:2" ht="12.75">
      <c r="A166" t="s">
        <v>1569</v>
      </c>
      <c r="B166" t="s">
        <v>677</v>
      </c>
    </row>
    <row r="168" ht="12.75">
      <c r="A168" s="1" t="s">
        <v>588</v>
      </c>
    </row>
    <row r="170" spans="1:2" ht="12.75">
      <c r="A170" t="s">
        <v>296</v>
      </c>
      <c r="B170" t="s">
        <v>400</v>
      </c>
    </row>
    <row r="171" spans="1:2" ht="12.75">
      <c r="A171" t="s">
        <v>299</v>
      </c>
      <c r="B171" t="s">
        <v>42</v>
      </c>
    </row>
    <row r="172" spans="1:2" ht="12.75">
      <c r="A172" t="s">
        <v>306</v>
      </c>
      <c r="B172" t="s">
        <v>307</v>
      </c>
    </row>
    <row r="173" spans="1:2" ht="12.75">
      <c r="A173" t="s">
        <v>314</v>
      </c>
      <c r="B173" t="s">
        <v>1093</v>
      </c>
    </row>
    <row r="174" spans="1:2" ht="12.75">
      <c r="A174" t="s">
        <v>389</v>
      </c>
      <c r="B174" t="s">
        <v>394</v>
      </c>
    </row>
    <row r="175" spans="1:2" ht="12.75">
      <c r="A175" t="s">
        <v>525</v>
      </c>
      <c r="B175" t="s">
        <v>414</v>
      </c>
    </row>
    <row r="176" spans="1:2" ht="12.75">
      <c r="A176" t="s">
        <v>560</v>
      </c>
      <c r="B176" t="s">
        <v>1327</v>
      </c>
    </row>
    <row r="177" spans="1:2" ht="12.75">
      <c r="A177" t="s">
        <v>583</v>
      </c>
      <c r="B177" t="s">
        <v>1207</v>
      </c>
    </row>
    <row r="178" spans="1:2" ht="12.75">
      <c r="A178" t="s">
        <v>607</v>
      </c>
      <c r="B178" t="s">
        <v>587</v>
      </c>
    </row>
    <row r="179" spans="1:2" ht="12.75">
      <c r="A179" t="s">
        <v>661</v>
      </c>
      <c r="B179" t="s">
        <v>621</v>
      </c>
    </row>
    <row r="180" spans="1:2" ht="12.75">
      <c r="A180" t="s">
        <v>687</v>
      </c>
      <c r="B180" t="s">
        <v>691</v>
      </c>
    </row>
    <row r="181" spans="1:2" ht="12.75">
      <c r="A181" t="s">
        <v>767</v>
      </c>
      <c r="B181" t="s">
        <v>800</v>
      </c>
    </row>
    <row r="182" spans="1:2" ht="12.75">
      <c r="A182" t="s">
        <v>774</v>
      </c>
      <c r="B182" t="s">
        <v>1539</v>
      </c>
    </row>
    <row r="183" spans="1:2" ht="12.75">
      <c r="A183" t="s">
        <v>776</v>
      </c>
      <c r="B183" t="s">
        <v>1209</v>
      </c>
    </row>
    <row r="184" spans="1:2" ht="12.75">
      <c r="A184" t="s">
        <v>794</v>
      </c>
      <c r="B184" t="s">
        <v>919</v>
      </c>
    </row>
    <row r="185" spans="1:2" ht="12.75">
      <c r="A185" t="s">
        <v>812</v>
      </c>
      <c r="B185" t="s">
        <v>808</v>
      </c>
    </row>
    <row r="186" spans="1:2" ht="12.75">
      <c r="A186" t="s">
        <v>843</v>
      </c>
      <c r="B186" t="s">
        <v>818</v>
      </c>
    </row>
    <row r="187" spans="1:2" ht="12.75">
      <c r="A187" t="s">
        <v>817</v>
      </c>
      <c r="B187" t="s">
        <v>822</v>
      </c>
    </row>
    <row r="188" spans="1:2" ht="12.75">
      <c r="A188" t="s">
        <v>870</v>
      </c>
      <c r="B188" t="s">
        <v>878</v>
      </c>
    </row>
    <row r="189" spans="1:2" ht="12.75">
      <c r="A189" t="s">
        <v>909</v>
      </c>
      <c r="B189" t="s">
        <v>929</v>
      </c>
    </row>
    <row r="190" spans="1:2" ht="12.75">
      <c r="A190" t="s">
        <v>976</v>
      </c>
      <c r="B190" t="s">
        <v>975</v>
      </c>
    </row>
    <row r="191" spans="1:2" ht="12.75">
      <c r="A191" t="s">
        <v>982</v>
      </c>
      <c r="B191" t="s">
        <v>981</v>
      </c>
    </row>
    <row r="192" spans="1:2" ht="12.75">
      <c r="A192" t="s">
        <v>994</v>
      </c>
      <c r="B192" t="s">
        <v>1001</v>
      </c>
    </row>
    <row r="193" spans="1:2" ht="12.75">
      <c r="A193" t="s">
        <v>1102</v>
      </c>
      <c r="B193" t="s">
        <v>1109</v>
      </c>
    </row>
    <row r="194" spans="1:2" ht="12.75">
      <c r="A194" t="s">
        <v>1119</v>
      </c>
      <c r="B194" t="s">
        <v>1109</v>
      </c>
    </row>
    <row r="195" spans="1:2" ht="12.75">
      <c r="A195" t="s">
        <v>1122</v>
      </c>
      <c r="B195" t="s">
        <v>1140</v>
      </c>
    </row>
    <row r="196" spans="1:2" ht="12.75">
      <c r="A196" t="s">
        <v>1139</v>
      </c>
      <c r="B196" t="s">
        <v>1130</v>
      </c>
    </row>
    <row r="197" spans="1:2" ht="12.75">
      <c r="A197" t="s">
        <v>1147</v>
      </c>
      <c r="B197" t="s">
        <v>1148</v>
      </c>
    </row>
    <row r="198" spans="1:2" ht="12.75">
      <c r="A198" t="s">
        <v>1159</v>
      </c>
      <c r="B198" t="s">
        <v>922</v>
      </c>
    </row>
    <row r="199" spans="1:2" ht="12.75">
      <c r="A199" t="s">
        <v>1224</v>
      </c>
      <c r="B199" t="s">
        <v>1198</v>
      </c>
    </row>
    <row r="200" spans="1:2" ht="12.75">
      <c r="A200" t="s">
        <v>1251</v>
      </c>
      <c r="B200" t="s">
        <v>1248</v>
      </c>
    </row>
    <row r="201" spans="1:2" ht="12.75">
      <c r="A201" t="s">
        <v>1252</v>
      </c>
      <c r="B201" t="s">
        <v>1249</v>
      </c>
    </row>
    <row r="202" spans="1:2" ht="12.75">
      <c r="A202" t="s">
        <v>1268</v>
      </c>
      <c r="B202" t="s">
        <v>637</v>
      </c>
    </row>
    <row r="203" spans="1:2" ht="12.75">
      <c r="A203" t="s">
        <v>1269</v>
      </c>
      <c r="B203" t="s">
        <v>1555</v>
      </c>
    </row>
    <row r="204" spans="1:2" ht="12.75">
      <c r="A204" t="s">
        <v>1274</v>
      </c>
      <c r="B204" t="s">
        <v>41</v>
      </c>
    </row>
    <row r="205" spans="1:2" ht="12.75">
      <c r="A205" t="s">
        <v>1278</v>
      </c>
      <c r="B205" t="s">
        <v>1277</v>
      </c>
    </row>
    <row r="206" spans="1:2" ht="12.75">
      <c r="A206" t="s">
        <v>1279</v>
      </c>
      <c r="B206" t="s">
        <v>39</v>
      </c>
    </row>
    <row r="207" spans="1:2" ht="12.75">
      <c r="A207" t="s">
        <v>1284</v>
      </c>
      <c r="B207" t="s">
        <v>409</v>
      </c>
    </row>
    <row r="208" spans="1:2" ht="12.75">
      <c r="A208" t="s">
        <v>1300</v>
      </c>
      <c r="B208" t="s">
        <v>825</v>
      </c>
    </row>
    <row r="209" spans="1:2" ht="12.75">
      <c r="A209" t="s">
        <v>1375</v>
      </c>
      <c r="B209" t="s">
        <v>1376</v>
      </c>
    </row>
    <row r="210" spans="1:2" ht="12.75">
      <c r="A210" t="s">
        <v>1403</v>
      </c>
      <c r="B210" t="s">
        <v>1421</v>
      </c>
    </row>
    <row r="211" spans="1:2" ht="12.75">
      <c r="A211" t="s">
        <v>1449</v>
      </c>
      <c r="B211" t="s">
        <v>1448</v>
      </c>
    </row>
    <row r="212" spans="1:2" ht="12.75">
      <c r="A212" t="s">
        <v>1450</v>
      </c>
      <c r="B212" t="s">
        <v>1384</v>
      </c>
    </row>
    <row r="213" spans="1:2" ht="12.75">
      <c r="A213" t="s">
        <v>1514</v>
      </c>
      <c r="B213" t="s">
        <v>1504</v>
      </c>
    </row>
    <row r="214" spans="1:2" ht="12.75">
      <c r="A214" t="s">
        <v>1523</v>
      </c>
      <c r="B214" t="s">
        <v>1513</v>
      </c>
    </row>
    <row r="215" spans="1:2" ht="12.75">
      <c r="A215" t="s">
        <v>1572</v>
      </c>
      <c r="B215" t="s">
        <v>372</v>
      </c>
    </row>
    <row r="217" ht="12.75">
      <c r="A217" s="1" t="s">
        <v>986</v>
      </c>
    </row>
    <row r="219" spans="1:2" ht="12.75">
      <c r="A219" t="s">
        <v>811</v>
      </c>
      <c r="B219" t="s">
        <v>803</v>
      </c>
    </row>
    <row r="220" spans="1:2" ht="12.75">
      <c r="A220" t="s">
        <v>996</v>
      </c>
      <c r="B220" t="s">
        <v>738</v>
      </c>
    </row>
    <row r="221" spans="1:2" ht="12.75">
      <c r="A221" t="s">
        <v>1146</v>
      </c>
      <c r="B221" t="s">
        <v>806</v>
      </c>
    </row>
    <row r="222" spans="1:2" ht="12.75">
      <c r="A222" t="s">
        <v>1299</v>
      </c>
      <c r="B222" t="s">
        <v>291</v>
      </c>
    </row>
    <row r="223" spans="1:2" ht="12.75">
      <c r="A223" t="s">
        <v>1212</v>
      </c>
      <c r="B223" t="s">
        <v>804</v>
      </c>
    </row>
    <row r="226" ht="12.75">
      <c r="A226" s="1" t="s">
        <v>317</v>
      </c>
    </row>
    <row r="228" spans="1:2" ht="12.75">
      <c r="A228" t="s">
        <v>1266</v>
      </c>
      <c r="B228" t="s">
        <v>1342</v>
      </c>
    </row>
    <row r="229" spans="1:2" ht="12.75">
      <c r="A229" t="s">
        <v>313</v>
      </c>
      <c r="B229" t="s">
        <v>28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2"/>
  </sheetPr>
  <dimension ref="A1:CK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9" ht="12.75">
      <c r="A1" s="15"/>
      <c r="B1" s="14"/>
      <c r="C1" s="14"/>
      <c r="D1" s="14"/>
      <c r="E1" s="14"/>
      <c r="F1" s="2"/>
      <c r="G1" s="2"/>
      <c r="H1" s="2"/>
      <c r="I1" s="2"/>
      <c r="J1" s="14"/>
      <c r="K1" s="2"/>
      <c r="L1" s="14"/>
      <c r="M1" s="14"/>
      <c r="N1" s="2"/>
      <c r="O1" s="10"/>
      <c r="P1" s="10"/>
      <c r="Q1" s="10"/>
      <c r="R1" s="9"/>
      <c r="S1" s="9"/>
      <c r="T1" s="9"/>
      <c r="U1" s="45"/>
      <c r="V1" s="45"/>
      <c r="W1" s="23"/>
      <c r="X1" s="23"/>
      <c r="AB1" s="45"/>
      <c r="AJ1" s="6"/>
      <c r="AU1" s="6"/>
      <c r="BG1" s="6"/>
      <c r="BL1" s="34"/>
      <c r="BM1" s="34"/>
      <c r="BN1" s="34"/>
      <c r="BO1" s="34"/>
      <c r="BP1" s="45"/>
      <c r="BT1" s="34"/>
      <c r="BU1" s="34"/>
      <c r="BW1" s="45"/>
      <c r="BX1" s="45"/>
      <c r="CK1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9"/>
  </sheetPr>
  <dimension ref="A1:DA14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5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62.28125" style="0" customWidth="1"/>
    <col min="91" max="91" width="13.421875" style="0" customWidth="1"/>
  </cols>
  <sheetData>
    <row r="1" spans="1:88" ht="12.75">
      <c r="A1" s="14"/>
      <c r="B1" s="18" t="s">
        <v>896</v>
      </c>
      <c r="C1" s="4"/>
      <c r="D1" s="3"/>
      <c r="E1" s="4" t="s">
        <v>443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1419</v>
      </c>
      <c r="B9" s="14" t="s">
        <v>952</v>
      </c>
      <c r="C9" s="14" t="s">
        <v>558</v>
      </c>
      <c r="D9" s="14" t="s">
        <v>255</v>
      </c>
      <c r="E9" s="14" t="s">
        <v>284</v>
      </c>
      <c r="F9" s="2" t="s">
        <v>82</v>
      </c>
      <c r="G9" s="2">
        <v>2</v>
      </c>
      <c r="H9" s="2" t="s">
        <v>612</v>
      </c>
      <c r="I9" s="2" t="s">
        <v>1240</v>
      </c>
      <c r="J9" s="14" t="s">
        <v>326</v>
      </c>
      <c r="K9" s="2" t="s">
        <v>616</v>
      </c>
      <c r="L9" s="14" t="s">
        <v>565</v>
      </c>
      <c r="M9" s="14" t="s">
        <v>1177</v>
      </c>
      <c r="N9" s="2" t="s">
        <v>1478</v>
      </c>
      <c r="O9" s="10">
        <v>3.5</v>
      </c>
      <c r="P9" s="10"/>
      <c r="Q9" s="10"/>
      <c r="R9" s="9"/>
      <c r="S9" s="9"/>
      <c r="T9" s="9"/>
      <c r="U9" s="45">
        <v>119.70000000000002</v>
      </c>
      <c r="V9" s="45">
        <v>34.2</v>
      </c>
      <c r="W9" s="23"/>
      <c r="X9" s="6">
        <v>2.85</v>
      </c>
      <c r="AB9" s="45"/>
      <c r="AC9">
        <v>9</v>
      </c>
      <c r="AD9">
        <v>19</v>
      </c>
      <c r="AE9">
        <v>6</v>
      </c>
      <c r="AF9" s="23">
        <v>9.975</v>
      </c>
      <c r="AG9">
        <v>2</v>
      </c>
      <c r="AH9">
        <v>17</v>
      </c>
      <c r="AI9">
        <v>0</v>
      </c>
      <c r="AJ9" s="23">
        <v>2.85</v>
      </c>
      <c r="BG9" s="23">
        <v>2.85</v>
      </c>
      <c r="BP9" s="34"/>
      <c r="BS9" s="21"/>
      <c r="BW9" s="20">
        <v>119.70000000000002</v>
      </c>
      <c r="BX9" s="20">
        <v>34.2</v>
      </c>
      <c r="CJ9">
        <v>1419</v>
      </c>
      <c r="CK9" s="2" t="s">
        <v>616</v>
      </c>
    </row>
    <row r="10" spans="1:89" ht="12.75">
      <c r="A10" s="15">
        <v>1419</v>
      </c>
      <c r="B10" s="14" t="s">
        <v>952</v>
      </c>
      <c r="C10" s="14" t="s">
        <v>558</v>
      </c>
      <c r="D10" s="14" t="s">
        <v>255</v>
      </c>
      <c r="E10" s="14" t="s">
        <v>284</v>
      </c>
      <c r="F10" s="2" t="s">
        <v>83</v>
      </c>
      <c r="G10" s="2">
        <v>2</v>
      </c>
      <c r="H10" s="2" t="s">
        <v>612</v>
      </c>
      <c r="I10" s="2" t="s">
        <v>1240</v>
      </c>
      <c r="J10" s="14" t="s">
        <v>326</v>
      </c>
      <c r="K10" s="2" t="s">
        <v>616</v>
      </c>
      <c r="L10" s="14" t="s">
        <v>565</v>
      </c>
      <c r="M10" s="14" t="s">
        <v>1177</v>
      </c>
      <c r="N10" s="2" t="s">
        <v>3</v>
      </c>
      <c r="O10" s="10">
        <v>0.5</v>
      </c>
      <c r="P10" s="10"/>
      <c r="Q10" s="10"/>
      <c r="R10" s="9"/>
      <c r="S10" s="9"/>
      <c r="T10" s="9"/>
      <c r="U10" s="45">
        <v>17.1</v>
      </c>
      <c r="V10" s="45">
        <v>34.2</v>
      </c>
      <c r="W10" s="23"/>
      <c r="X10" s="6">
        <v>2.85</v>
      </c>
      <c r="AD10">
        <v>28</v>
      </c>
      <c r="AE10">
        <v>6</v>
      </c>
      <c r="AF10" s="23">
        <v>1.425</v>
      </c>
      <c r="AG10">
        <v>2</v>
      </c>
      <c r="AH10">
        <v>17</v>
      </c>
      <c r="AI10">
        <v>0</v>
      </c>
      <c r="AJ10" s="23">
        <v>2.85</v>
      </c>
      <c r="BG10" s="23">
        <v>2.85</v>
      </c>
      <c r="BP10" s="34"/>
      <c r="BS10" s="21"/>
      <c r="BW10" s="20">
        <v>17.1</v>
      </c>
      <c r="BX10" s="20">
        <v>34.2</v>
      </c>
      <c r="CJ10">
        <v>1419</v>
      </c>
      <c r="CK10" s="2" t="s">
        <v>616</v>
      </c>
    </row>
    <row r="12" spans="1:89" ht="12.75">
      <c r="A12" s="15">
        <v>1419</v>
      </c>
      <c r="B12" s="14" t="s">
        <v>1077</v>
      </c>
      <c r="C12" s="14" t="s">
        <v>558</v>
      </c>
      <c r="D12" s="14" t="s">
        <v>256</v>
      </c>
      <c r="E12" s="14" t="s">
        <v>272</v>
      </c>
      <c r="F12" s="2" t="s">
        <v>99</v>
      </c>
      <c r="G12" s="2"/>
      <c r="H12" s="2" t="s">
        <v>612</v>
      </c>
      <c r="I12" s="2" t="s">
        <v>1232</v>
      </c>
      <c r="J12" s="14" t="s">
        <v>326</v>
      </c>
      <c r="K12" s="2" t="s">
        <v>616</v>
      </c>
      <c r="L12" s="14" t="s">
        <v>565</v>
      </c>
      <c r="M12" s="14" t="s">
        <v>1177</v>
      </c>
      <c r="N12" s="2" t="s">
        <v>1368</v>
      </c>
      <c r="O12" s="10">
        <v>1</v>
      </c>
      <c r="P12" s="10"/>
      <c r="Q12" s="10"/>
      <c r="R12" s="9"/>
      <c r="S12" s="9"/>
      <c r="T12" s="9"/>
      <c r="U12" s="45">
        <v>31.200000000000003</v>
      </c>
      <c r="V12" s="45">
        <v>31.200000000000003</v>
      </c>
      <c r="W12" s="23"/>
      <c r="X12" s="6">
        <v>2.6</v>
      </c>
      <c r="AC12">
        <v>2</v>
      </c>
      <c r="AD12">
        <v>12</v>
      </c>
      <c r="AE12">
        <v>0</v>
      </c>
      <c r="AF12" s="23">
        <v>2.6</v>
      </c>
      <c r="AG12">
        <v>2</v>
      </c>
      <c r="AH12">
        <v>12</v>
      </c>
      <c r="AI12">
        <v>0</v>
      </c>
      <c r="AJ12" s="23">
        <v>2.6</v>
      </c>
      <c r="AK12" s="23"/>
      <c r="AX12" s="7"/>
      <c r="AY12" s="19"/>
      <c r="AZ12" s="19"/>
      <c r="BC12" s="23"/>
      <c r="BE12" s="23">
        <v>2.6</v>
      </c>
      <c r="BG12" s="23"/>
      <c r="BP12" s="34"/>
      <c r="BS12" s="21"/>
      <c r="BW12" s="20">
        <v>31.200000000000003</v>
      </c>
      <c r="BX12" s="20">
        <v>31.200000000000003</v>
      </c>
      <c r="CJ12">
        <v>1419</v>
      </c>
      <c r="CK12" s="2" t="s">
        <v>616</v>
      </c>
    </row>
    <row r="14" spans="1:90" ht="12.75">
      <c r="A14" s="15">
        <v>1422</v>
      </c>
      <c r="B14" s="14" t="s">
        <v>952</v>
      </c>
      <c r="C14" s="14" t="s">
        <v>558</v>
      </c>
      <c r="D14" s="14" t="s">
        <v>258</v>
      </c>
      <c r="E14" s="14" t="s">
        <v>282</v>
      </c>
      <c r="F14" s="2" t="s">
        <v>165</v>
      </c>
      <c r="G14" s="2">
        <v>2</v>
      </c>
      <c r="H14" s="2" t="s">
        <v>612</v>
      </c>
      <c r="I14" s="2" t="s">
        <v>1123</v>
      </c>
      <c r="J14" s="14" t="s">
        <v>326</v>
      </c>
      <c r="K14" s="2" t="s">
        <v>615</v>
      </c>
      <c r="L14" s="14" t="s">
        <v>565</v>
      </c>
      <c r="M14" s="14" t="s">
        <v>1107</v>
      </c>
      <c r="N14" s="2" t="s">
        <v>887</v>
      </c>
      <c r="O14" s="10">
        <v>1</v>
      </c>
      <c r="P14" s="10"/>
      <c r="Q14" s="10"/>
      <c r="R14" s="9"/>
      <c r="S14" s="9"/>
      <c r="T14" s="9"/>
      <c r="U14" s="45">
        <v>31.200000000000003</v>
      </c>
      <c r="V14" s="45">
        <v>31.200000000000003</v>
      </c>
      <c r="W14" s="23"/>
      <c r="X14" s="6">
        <v>2.6</v>
      </c>
      <c r="AB14" s="45"/>
      <c r="AC14">
        <v>2</v>
      </c>
      <c r="AD14">
        <v>12</v>
      </c>
      <c r="AE14">
        <v>0</v>
      </c>
      <c r="AF14" s="23">
        <v>2.6</v>
      </c>
      <c r="AG14">
        <v>2</v>
      </c>
      <c r="AH14">
        <v>12</v>
      </c>
      <c r="AI14">
        <v>0</v>
      </c>
      <c r="AJ14" s="23">
        <v>2.6</v>
      </c>
      <c r="AU14" s="7"/>
      <c r="AV14" s="7"/>
      <c r="BF14" s="23">
        <v>2.6</v>
      </c>
      <c r="BG14" s="23"/>
      <c r="BP14" s="34"/>
      <c r="BS14" s="21"/>
      <c r="BW14" s="20">
        <v>31.200000000000003</v>
      </c>
      <c r="BX14" s="20">
        <v>31.200000000000003</v>
      </c>
      <c r="CJ14">
        <v>1422</v>
      </c>
      <c r="CK14" s="2" t="s">
        <v>615</v>
      </c>
      <c r="CL14" t="s">
        <v>11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0"/>
  </sheetPr>
  <dimension ref="A1:DA1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647</v>
      </c>
      <c r="C1" s="4"/>
      <c r="D1" s="3"/>
      <c r="E1" s="4" t="s">
        <v>443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1420</v>
      </c>
      <c r="B9" s="14" t="s">
        <v>952</v>
      </c>
      <c r="C9" s="14" t="s">
        <v>558</v>
      </c>
      <c r="D9" s="14" t="s">
        <v>256</v>
      </c>
      <c r="E9" s="14" t="s">
        <v>275</v>
      </c>
      <c r="F9" s="2" t="s">
        <v>111</v>
      </c>
      <c r="G9" s="2">
        <v>2</v>
      </c>
      <c r="H9" s="2" t="s">
        <v>647</v>
      </c>
      <c r="I9" s="2" t="s">
        <v>379</v>
      </c>
      <c r="J9" s="14" t="s">
        <v>326</v>
      </c>
      <c r="K9" s="2" t="s">
        <v>649</v>
      </c>
      <c r="L9" s="14" t="s">
        <v>639</v>
      </c>
      <c r="M9" s="14" t="s">
        <v>327</v>
      </c>
      <c r="N9" s="2" t="s">
        <v>1361</v>
      </c>
      <c r="O9" s="10">
        <v>1</v>
      </c>
      <c r="P9" s="10"/>
      <c r="Q9" s="10"/>
      <c r="R9" s="9"/>
      <c r="S9" s="9"/>
      <c r="T9" s="9"/>
      <c r="U9" s="45">
        <v>35.949999999999996</v>
      </c>
      <c r="V9" s="45">
        <v>35.949999999999996</v>
      </c>
      <c r="W9" s="23"/>
      <c r="X9" s="6">
        <v>2.995833333333333</v>
      </c>
      <c r="AC9">
        <v>2</v>
      </c>
      <c r="AD9">
        <v>19</v>
      </c>
      <c r="AE9">
        <v>11</v>
      </c>
      <c r="AF9" s="23">
        <v>2.995833333333333</v>
      </c>
      <c r="AG9">
        <v>2</v>
      </c>
      <c r="AH9">
        <v>19</v>
      </c>
      <c r="AI9">
        <v>11</v>
      </c>
      <c r="AJ9" s="23">
        <v>2.995833333333333</v>
      </c>
      <c r="AK9" s="23"/>
      <c r="BE9" s="23">
        <v>2.995833333333333</v>
      </c>
      <c r="BG9" s="23"/>
      <c r="BS9" s="21"/>
      <c r="BW9" s="20">
        <v>35.949999999999996</v>
      </c>
      <c r="BX9" s="20">
        <v>35.949999999999996</v>
      </c>
      <c r="CJ9">
        <v>1420</v>
      </c>
      <c r="CK9" s="2" t="s">
        <v>649</v>
      </c>
    </row>
    <row r="10" spans="1:89" ht="12.75">
      <c r="A10" s="15">
        <v>1420</v>
      </c>
      <c r="B10" s="14" t="s">
        <v>952</v>
      </c>
      <c r="C10" s="14" t="s">
        <v>558</v>
      </c>
      <c r="D10" s="14" t="s">
        <v>256</v>
      </c>
      <c r="E10" s="14" t="s">
        <v>275</v>
      </c>
      <c r="F10" s="2" t="s">
        <v>112</v>
      </c>
      <c r="G10" s="2">
        <v>2</v>
      </c>
      <c r="H10" s="2" t="s">
        <v>647</v>
      </c>
      <c r="I10" s="2" t="s">
        <v>842</v>
      </c>
      <c r="J10" s="14" t="s">
        <v>326</v>
      </c>
      <c r="K10" s="2" t="s">
        <v>651</v>
      </c>
      <c r="L10" s="14" t="s">
        <v>639</v>
      </c>
      <c r="M10" s="14" t="s">
        <v>745</v>
      </c>
      <c r="N10" s="2" t="s">
        <v>1478</v>
      </c>
      <c r="O10" s="10">
        <v>1</v>
      </c>
      <c r="P10" s="10"/>
      <c r="Q10" s="10"/>
      <c r="R10" s="9"/>
      <c r="S10" s="9"/>
      <c r="T10" s="9"/>
      <c r="U10" s="45">
        <v>34.349999999999994</v>
      </c>
      <c r="V10" s="45">
        <v>34.349999999999994</v>
      </c>
      <c r="W10" s="23"/>
      <c r="X10" s="6">
        <v>2.8625</v>
      </c>
      <c r="AC10">
        <v>2</v>
      </c>
      <c r="AD10">
        <v>17</v>
      </c>
      <c r="AE10">
        <v>3</v>
      </c>
      <c r="AF10" s="23">
        <v>2.8625</v>
      </c>
      <c r="AG10">
        <v>2</v>
      </c>
      <c r="AH10">
        <v>17</v>
      </c>
      <c r="AI10">
        <v>3</v>
      </c>
      <c r="AJ10" s="23">
        <v>2.8625</v>
      </c>
      <c r="AK10" s="23"/>
      <c r="AY10" s="23"/>
      <c r="AZ10" s="19"/>
      <c r="BG10" s="23">
        <v>2.8625</v>
      </c>
      <c r="BP10" s="34"/>
      <c r="BS10" s="21"/>
      <c r="BW10" s="20">
        <v>34.349999999999994</v>
      </c>
      <c r="BX10" s="20">
        <v>34.349999999999994</v>
      </c>
      <c r="CJ10">
        <v>1420</v>
      </c>
      <c r="CK10" s="2" t="s">
        <v>651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CY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9.140625" style="0" customWidth="1"/>
    <col min="10" max="10" width="7.57421875" style="0" customWidth="1"/>
    <col min="11" max="11" width="32.00390625" style="0" customWidth="1"/>
    <col min="12" max="12" width="6.28125" style="0" customWidth="1"/>
    <col min="13" max="13" width="13.140625" style="0" customWidth="1"/>
    <col min="14" max="14" width="52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32.00390625" style="0" customWidth="1"/>
    <col min="90" max="90" width="43.421875" style="0" customWidth="1"/>
    <col min="91" max="91" width="13.421875" style="0" customWidth="1"/>
  </cols>
  <sheetData>
    <row r="1" spans="1:88" ht="12.75">
      <c r="A1" s="14"/>
      <c r="B1" s="18" t="s">
        <v>591</v>
      </c>
      <c r="D1" s="3"/>
      <c r="E1" s="4" t="s">
        <v>442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2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  <c r="CN3" s="1"/>
    </row>
    <row r="4" spans="1:92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2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8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  <c r="CN4" s="1"/>
    </row>
    <row r="5" spans="1:92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27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  <c r="CN5" s="1"/>
    </row>
    <row r="6" spans="1:92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103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27">
        <v>61</v>
      </c>
      <c r="BK7" s="27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18">
        <v>76</v>
      </c>
      <c r="BZ7" s="1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27">
        <v>89</v>
      </c>
      <c r="CM7" s="18">
        <v>90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9" spans="1:90" ht="12.75">
      <c r="A9" s="15">
        <v>1418</v>
      </c>
      <c r="B9" s="14" t="s">
        <v>952</v>
      </c>
      <c r="C9" s="14" t="s">
        <v>558</v>
      </c>
      <c r="D9" s="14" t="s">
        <v>254</v>
      </c>
      <c r="E9" s="14" t="s">
        <v>286</v>
      </c>
      <c r="F9" s="2" t="s">
        <v>56</v>
      </c>
      <c r="G9" s="2">
        <v>2</v>
      </c>
      <c r="H9" s="2" t="s">
        <v>591</v>
      </c>
      <c r="I9" s="2" t="s">
        <v>392</v>
      </c>
      <c r="J9" s="14" t="s">
        <v>326</v>
      </c>
      <c r="K9" s="2" t="s">
        <v>595</v>
      </c>
      <c r="L9" s="14" t="s">
        <v>584</v>
      </c>
      <c r="M9" s="14" t="s">
        <v>334</v>
      </c>
      <c r="N9" s="2" t="s">
        <v>762</v>
      </c>
      <c r="O9" s="10">
        <v>4</v>
      </c>
      <c r="P9" s="10"/>
      <c r="Q9" s="10"/>
      <c r="R9" s="9"/>
      <c r="S9" s="9"/>
      <c r="T9" s="9"/>
      <c r="U9" s="45">
        <v>79.19999999999999</v>
      </c>
      <c r="V9" s="45">
        <v>19.799999999999997</v>
      </c>
      <c r="W9" s="23"/>
      <c r="X9" s="6">
        <v>1.65</v>
      </c>
      <c r="AB9" s="45"/>
      <c r="AF9" s="23">
        <v>6.6</v>
      </c>
      <c r="AG9">
        <v>1</v>
      </c>
      <c r="AH9">
        <v>13</v>
      </c>
      <c r="AI9">
        <v>0</v>
      </c>
      <c r="AJ9" s="23">
        <v>1.65</v>
      </c>
      <c r="AK9" s="23"/>
      <c r="AU9" s="23"/>
      <c r="BE9" s="23"/>
      <c r="BG9" s="23">
        <v>1.65</v>
      </c>
      <c r="BP9" s="34"/>
      <c r="BS9" s="21"/>
      <c r="BW9" s="20">
        <v>79.19999999999999</v>
      </c>
      <c r="BX9" s="20">
        <v>19.799999999999997</v>
      </c>
      <c r="CJ9">
        <v>1418</v>
      </c>
      <c r="CK9" s="2" t="s">
        <v>595</v>
      </c>
      <c r="CL9" t="s">
        <v>20</v>
      </c>
    </row>
    <row r="10" spans="1:90" ht="12.75">
      <c r="A10" s="15">
        <v>1418</v>
      </c>
      <c r="B10" s="14" t="s">
        <v>952</v>
      </c>
      <c r="C10" s="14" t="s">
        <v>558</v>
      </c>
      <c r="D10" s="14" t="s">
        <v>254</v>
      </c>
      <c r="E10" s="14" t="s">
        <v>286</v>
      </c>
      <c r="F10" s="2" t="s">
        <v>57</v>
      </c>
      <c r="G10" s="2">
        <v>2</v>
      </c>
      <c r="H10" s="2" t="s">
        <v>591</v>
      </c>
      <c r="I10" s="2" t="s">
        <v>828</v>
      </c>
      <c r="J10" s="14" t="s">
        <v>326</v>
      </c>
      <c r="K10" s="2" t="s">
        <v>600</v>
      </c>
      <c r="L10" s="14" t="s">
        <v>585</v>
      </c>
      <c r="M10" s="14" t="s">
        <v>745</v>
      </c>
      <c r="N10" s="2" t="s">
        <v>248</v>
      </c>
      <c r="O10" s="10">
        <v>1</v>
      </c>
      <c r="P10" s="10"/>
      <c r="Q10" s="10"/>
      <c r="R10" s="9"/>
      <c r="S10" s="9"/>
      <c r="T10" s="9"/>
      <c r="U10" s="45">
        <v>19.799999999999997</v>
      </c>
      <c r="V10" s="45">
        <v>19.799999999999997</v>
      </c>
      <c r="W10" s="23"/>
      <c r="X10" s="6">
        <v>1.65</v>
      </c>
      <c r="AC10">
        <v>1</v>
      </c>
      <c r="AD10">
        <v>13</v>
      </c>
      <c r="AE10">
        <v>0</v>
      </c>
      <c r="AF10" s="23">
        <v>1.65</v>
      </c>
      <c r="AG10">
        <v>1</v>
      </c>
      <c r="AH10">
        <v>13</v>
      </c>
      <c r="AI10">
        <v>0</v>
      </c>
      <c r="AJ10" s="23">
        <v>1.65</v>
      </c>
      <c r="AX10" s="23"/>
      <c r="BG10" s="23">
        <v>1.65</v>
      </c>
      <c r="BP10" s="34"/>
      <c r="BS10" s="21"/>
      <c r="BW10" s="20">
        <v>19.799999999999997</v>
      </c>
      <c r="BX10" s="20">
        <v>19.799999999999997</v>
      </c>
      <c r="CJ10">
        <v>1418</v>
      </c>
      <c r="CK10" s="2" t="s">
        <v>600</v>
      </c>
      <c r="CL10" t="s">
        <v>20</v>
      </c>
    </row>
    <row r="11" spans="1:90" ht="12.75">
      <c r="A11" s="15">
        <v>1418</v>
      </c>
      <c r="B11" s="14" t="s">
        <v>952</v>
      </c>
      <c r="C11" s="14" t="s">
        <v>558</v>
      </c>
      <c r="D11" s="14" t="s">
        <v>254</v>
      </c>
      <c r="E11" s="14" t="s">
        <v>286</v>
      </c>
      <c r="F11" s="2" t="s">
        <v>58</v>
      </c>
      <c r="G11" s="2">
        <v>2</v>
      </c>
      <c r="H11" s="2" t="s">
        <v>591</v>
      </c>
      <c r="I11" s="2" t="s">
        <v>380</v>
      </c>
      <c r="J11" s="14" t="s">
        <v>326</v>
      </c>
      <c r="K11" s="2" t="s">
        <v>595</v>
      </c>
      <c r="L11" s="14" t="s">
        <v>584</v>
      </c>
      <c r="M11" s="14" t="s">
        <v>334</v>
      </c>
      <c r="N11" s="2" t="s">
        <v>15</v>
      </c>
      <c r="O11" s="10">
        <v>1</v>
      </c>
      <c r="P11" s="10"/>
      <c r="Q11" s="10"/>
      <c r="R11" s="9"/>
      <c r="S11" s="9"/>
      <c r="T11" s="9"/>
      <c r="U11" s="45">
        <v>18.15</v>
      </c>
      <c r="V11" s="45">
        <v>18.15</v>
      </c>
      <c r="W11" s="23"/>
      <c r="X11" s="6">
        <v>1.5125</v>
      </c>
      <c r="AC11">
        <v>1</v>
      </c>
      <c r="AD11">
        <v>10</v>
      </c>
      <c r="AE11">
        <v>3</v>
      </c>
      <c r="AF11" s="23">
        <v>1.5125</v>
      </c>
      <c r="AG11">
        <v>1</v>
      </c>
      <c r="AH11">
        <v>10</v>
      </c>
      <c r="AI11">
        <v>3</v>
      </c>
      <c r="AJ11" s="23">
        <v>1.5125</v>
      </c>
      <c r="BG11" s="23">
        <v>1.5125</v>
      </c>
      <c r="BP11" s="34"/>
      <c r="BS11" s="21"/>
      <c r="BW11" s="20">
        <v>18.15</v>
      </c>
      <c r="BX11" s="20">
        <v>18.15</v>
      </c>
      <c r="CJ11">
        <v>1418</v>
      </c>
      <c r="CK11" s="2" t="s">
        <v>595</v>
      </c>
      <c r="CL11" t="s">
        <v>19</v>
      </c>
    </row>
    <row r="13" spans="1:89" ht="12.75">
      <c r="A13" s="15">
        <v>1418</v>
      </c>
      <c r="B13" s="14" t="s">
        <v>1076</v>
      </c>
      <c r="C13" s="14" t="s">
        <v>558</v>
      </c>
      <c r="D13" s="14" t="s">
        <v>255</v>
      </c>
      <c r="E13" s="14" t="s">
        <v>281</v>
      </c>
      <c r="F13" s="2" t="s">
        <v>72</v>
      </c>
      <c r="G13" s="2">
        <v>1</v>
      </c>
      <c r="H13" t="s">
        <v>591</v>
      </c>
      <c r="I13" t="s">
        <v>1239</v>
      </c>
      <c r="J13" s="14" t="s">
        <v>326</v>
      </c>
      <c r="K13" s="2" t="s">
        <v>603</v>
      </c>
      <c r="L13" s="14" t="s">
        <v>585</v>
      </c>
      <c r="M13" s="14" t="s">
        <v>1177</v>
      </c>
      <c r="N13" s="2" t="s">
        <v>762</v>
      </c>
      <c r="O13" s="10">
        <v>1</v>
      </c>
      <c r="P13" s="10"/>
      <c r="Q13" s="10"/>
      <c r="R13" s="9"/>
      <c r="S13" s="9"/>
      <c r="T13" s="9"/>
      <c r="U13" s="45">
        <v>16.799999999999997</v>
      </c>
      <c r="V13" s="45">
        <v>16.799999999999997</v>
      </c>
      <c r="W13" s="23"/>
      <c r="X13" s="6">
        <v>1.4</v>
      </c>
      <c r="AB13" s="45"/>
      <c r="AC13">
        <v>1</v>
      </c>
      <c r="AD13">
        <v>8</v>
      </c>
      <c r="AE13">
        <v>0</v>
      </c>
      <c r="AF13" s="23">
        <v>1.4</v>
      </c>
      <c r="AG13">
        <v>1</v>
      </c>
      <c r="AH13">
        <v>8</v>
      </c>
      <c r="AI13">
        <v>0</v>
      </c>
      <c r="AJ13" s="23">
        <v>1.4</v>
      </c>
      <c r="BG13" s="23">
        <v>1.4</v>
      </c>
      <c r="BP13" s="34"/>
      <c r="BS13" s="21"/>
      <c r="BW13" s="20">
        <v>16.799999999999997</v>
      </c>
      <c r="BX13" s="20">
        <v>16.799999999999997</v>
      </c>
      <c r="CJ13">
        <v>1418</v>
      </c>
      <c r="CK13" s="2" t="s">
        <v>603</v>
      </c>
    </row>
    <row r="15" spans="1:89" ht="12.75">
      <c r="A15" s="15">
        <v>1419</v>
      </c>
      <c r="B15" s="14" t="s">
        <v>952</v>
      </c>
      <c r="C15" s="14" t="s">
        <v>558</v>
      </c>
      <c r="D15" s="14" t="s">
        <v>255</v>
      </c>
      <c r="E15" s="14" t="s">
        <v>284</v>
      </c>
      <c r="F15" s="2" t="s">
        <v>84</v>
      </c>
      <c r="G15" s="2">
        <v>2</v>
      </c>
      <c r="H15" s="2" t="s">
        <v>591</v>
      </c>
      <c r="I15" s="2" t="s">
        <v>1128</v>
      </c>
      <c r="J15" s="14" t="s">
        <v>326</v>
      </c>
      <c r="K15" s="2" t="s">
        <v>602</v>
      </c>
      <c r="L15" s="14" t="s">
        <v>585</v>
      </c>
      <c r="M15" s="14" t="s">
        <v>1107</v>
      </c>
      <c r="N15" s="2" t="s">
        <v>762</v>
      </c>
      <c r="O15" s="10">
        <v>3</v>
      </c>
      <c r="P15" s="10"/>
      <c r="Q15" s="10"/>
      <c r="R15" s="9"/>
      <c r="S15" s="9"/>
      <c r="T15" s="9"/>
      <c r="U15" s="45">
        <v>59.7</v>
      </c>
      <c r="V15" s="45">
        <v>19.900000000000002</v>
      </c>
      <c r="W15" s="23"/>
      <c r="X15" s="6">
        <v>1.6583333333333334</v>
      </c>
      <c r="AF15" s="23">
        <v>4.9750000000000005</v>
      </c>
      <c r="AG15">
        <v>1</v>
      </c>
      <c r="AH15">
        <v>13</v>
      </c>
      <c r="AI15">
        <v>2</v>
      </c>
      <c r="AJ15" s="23">
        <v>1.6583333333333334</v>
      </c>
      <c r="AK15" s="23"/>
      <c r="BB15" s="7"/>
      <c r="BG15" s="23">
        <v>1.6583333333333334</v>
      </c>
      <c r="BP15" s="34"/>
      <c r="BS15" s="21"/>
      <c r="BW15" s="20">
        <v>59.7</v>
      </c>
      <c r="BX15" s="20">
        <v>19.900000000000002</v>
      </c>
      <c r="CJ15">
        <v>1419</v>
      </c>
      <c r="CK15" s="2" t="s">
        <v>602</v>
      </c>
    </row>
    <row r="16" spans="1:89" ht="12.75">
      <c r="A16" s="15">
        <v>1419</v>
      </c>
      <c r="B16" s="14" t="s">
        <v>952</v>
      </c>
      <c r="C16" s="14" t="s">
        <v>558</v>
      </c>
      <c r="D16" s="14" t="s">
        <v>255</v>
      </c>
      <c r="E16" s="14" t="s">
        <v>284</v>
      </c>
      <c r="F16" s="2" t="s">
        <v>85</v>
      </c>
      <c r="G16" s="2">
        <v>2</v>
      </c>
      <c r="H16" s="2" t="s">
        <v>591</v>
      </c>
      <c r="I16" s="2" t="s">
        <v>378</v>
      </c>
      <c r="J16" s="14" t="s">
        <v>326</v>
      </c>
      <c r="K16" s="2" t="s">
        <v>593</v>
      </c>
      <c r="L16" s="14" t="s">
        <v>585</v>
      </c>
      <c r="M16" s="14" t="s">
        <v>327</v>
      </c>
      <c r="N16" s="2" t="s">
        <v>248</v>
      </c>
      <c r="O16" s="10">
        <v>1</v>
      </c>
      <c r="P16" s="10"/>
      <c r="Q16" s="10"/>
      <c r="R16" s="9"/>
      <c r="S16" s="9"/>
      <c r="T16" s="9"/>
      <c r="U16" s="45">
        <v>19.900000000000002</v>
      </c>
      <c r="V16" s="45">
        <v>19.900000000000002</v>
      </c>
      <c r="W16" s="23"/>
      <c r="X16" s="6">
        <v>1.6583333333333334</v>
      </c>
      <c r="AC16">
        <v>1</v>
      </c>
      <c r="AD16">
        <v>13</v>
      </c>
      <c r="AE16">
        <v>2</v>
      </c>
      <c r="AF16" s="23">
        <v>1.6583333333333334</v>
      </c>
      <c r="AG16">
        <v>1</v>
      </c>
      <c r="AH16">
        <v>13</v>
      </c>
      <c r="AI16">
        <v>2</v>
      </c>
      <c r="AJ16" s="23">
        <v>1.6583333333333334</v>
      </c>
      <c r="AK16" s="23"/>
      <c r="BB16" s="7"/>
      <c r="BG16" s="23">
        <v>1.6583333333333334</v>
      </c>
      <c r="BP16" s="34"/>
      <c r="BS16" s="21"/>
      <c r="BW16" s="20">
        <v>19.900000000000002</v>
      </c>
      <c r="BX16" s="20">
        <v>19.900000000000002</v>
      </c>
      <c r="CJ16">
        <v>1419</v>
      </c>
      <c r="CK16" s="2" t="s">
        <v>593</v>
      </c>
    </row>
    <row r="17" spans="1:89" ht="12.75">
      <c r="A17" s="15">
        <v>1419</v>
      </c>
      <c r="B17" s="14" t="s">
        <v>952</v>
      </c>
      <c r="C17" s="14" t="s">
        <v>558</v>
      </c>
      <c r="D17" s="14" t="s">
        <v>255</v>
      </c>
      <c r="E17" s="14" t="s">
        <v>284</v>
      </c>
      <c r="F17" s="2" t="s">
        <v>86</v>
      </c>
      <c r="G17" s="2">
        <v>2</v>
      </c>
      <c r="H17" s="2" t="s">
        <v>591</v>
      </c>
      <c r="I17" s="2" t="s">
        <v>1230</v>
      </c>
      <c r="J17" s="14" t="s">
        <v>326</v>
      </c>
      <c r="K17" s="2" t="s">
        <v>603</v>
      </c>
      <c r="L17" s="14" t="s">
        <v>585</v>
      </c>
      <c r="M17" s="14" t="s">
        <v>1177</v>
      </c>
      <c r="N17" s="2" t="s">
        <v>1464</v>
      </c>
      <c r="O17" s="10">
        <v>1</v>
      </c>
      <c r="P17" s="10"/>
      <c r="Q17" s="10"/>
      <c r="R17" s="9"/>
      <c r="S17" s="9"/>
      <c r="T17" s="9"/>
      <c r="U17" s="45">
        <v>19.900000000000002</v>
      </c>
      <c r="V17" s="45">
        <v>19.900000000000002</v>
      </c>
      <c r="W17" s="23"/>
      <c r="X17" s="6">
        <v>1.6583333333333334</v>
      </c>
      <c r="AB17" s="45"/>
      <c r="AC17">
        <v>1</v>
      </c>
      <c r="AD17">
        <v>13</v>
      </c>
      <c r="AE17">
        <v>2</v>
      </c>
      <c r="AF17" s="23">
        <v>1.6583333333333334</v>
      </c>
      <c r="AG17">
        <v>1</v>
      </c>
      <c r="AH17">
        <v>13</v>
      </c>
      <c r="AI17">
        <v>2</v>
      </c>
      <c r="AJ17" s="23">
        <v>1.6583333333333334</v>
      </c>
      <c r="AK17" s="23"/>
      <c r="AU17" s="23"/>
      <c r="BB17" s="7"/>
      <c r="BG17" s="23">
        <v>1.6583333333333334</v>
      </c>
      <c r="BP17" s="34"/>
      <c r="BS17" s="21"/>
      <c r="BW17" s="20">
        <v>19.900000000000002</v>
      </c>
      <c r="BX17" s="20">
        <v>19.900000000000002</v>
      </c>
      <c r="CJ17">
        <v>1419</v>
      </c>
      <c r="CK17" s="2" t="s">
        <v>603</v>
      </c>
    </row>
    <row r="18" spans="1:89" ht="12.75">
      <c r="A18" s="15">
        <v>1419</v>
      </c>
      <c r="B18" s="14" t="s">
        <v>952</v>
      </c>
      <c r="C18" s="14" t="s">
        <v>558</v>
      </c>
      <c r="D18" s="14" t="s">
        <v>255</v>
      </c>
      <c r="E18" s="14" t="s">
        <v>284</v>
      </c>
      <c r="F18" s="2" t="s">
        <v>77</v>
      </c>
      <c r="G18" s="2">
        <v>2</v>
      </c>
      <c r="H18" s="2" t="s">
        <v>591</v>
      </c>
      <c r="I18" s="2" t="s">
        <v>840</v>
      </c>
      <c r="J18" s="14" t="s">
        <v>326</v>
      </c>
      <c r="K18" s="2" t="s">
        <v>600</v>
      </c>
      <c r="L18" s="14" t="s">
        <v>585</v>
      </c>
      <c r="M18" s="14" t="s">
        <v>745</v>
      </c>
      <c r="N18" s="2" t="s">
        <v>14</v>
      </c>
      <c r="O18" s="10">
        <v>1</v>
      </c>
      <c r="P18" s="10"/>
      <c r="Q18" s="10"/>
      <c r="R18" s="9"/>
      <c r="S18" s="9"/>
      <c r="T18" s="9"/>
      <c r="U18" s="45">
        <v>19.900000000000002</v>
      </c>
      <c r="V18" s="45">
        <v>19.900000000000002</v>
      </c>
      <c r="W18" s="23"/>
      <c r="X18" s="6">
        <v>1.6583333333333334</v>
      </c>
      <c r="AB18" s="45"/>
      <c r="AC18">
        <v>1</v>
      </c>
      <c r="AD18">
        <v>13</v>
      </c>
      <c r="AE18">
        <v>2</v>
      </c>
      <c r="AF18" s="23">
        <v>1.6583333333333334</v>
      </c>
      <c r="AG18">
        <v>1</v>
      </c>
      <c r="AH18">
        <v>13</v>
      </c>
      <c r="AI18">
        <v>2</v>
      </c>
      <c r="AJ18" s="23">
        <v>1.6583333333333334</v>
      </c>
      <c r="AK18" s="23"/>
      <c r="BG18" s="23">
        <v>1.6583333333333334</v>
      </c>
      <c r="BP18" s="34"/>
      <c r="BS18" s="21"/>
      <c r="BW18" s="20">
        <v>19.900000000000002</v>
      </c>
      <c r="BX18" s="20">
        <v>19.900000000000002</v>
      </c>
      <c r="CJ18">
        <v>1419</v>
      </c>
      <c r="CK18" s="2" t="s">
        <v>600</v>
      </c>
    </row>
    <row r="20" spans="1:89" ht="12.75">
      <c r="A20" s="15">
        <v>1419</v>
      </c>
      <c r="B20" s="14" t="s">
        <v>1077</v>
      </c>
      <c r="C20" s="14" t="s">
        <v>558</v>
      </c>
      <c r="D20" s="14" t="s">
        <v>256</v>
      </c>
      <c r="E20" s="14" t="s">
        <v>272</v>
      </c>
      <c r="F20" s="2" t="s">
        <v>100</v>
      </c>
      <c r="G20" s="2"/>
      <c r="H20" s="2" t="s">
        <v>591</v>
      </c>
      <c r="I20" s="2" t="s">
        <v>390</v>
      </c>
      <c r="J20" s="14" t="s">
        <v>326</v>
      </c>
      <c r="K20" s="2" t="s">
        <v>593</v>
      </c>
      <c r="L20" s="14" t="s">
        <v>585</v>
      </c>
      <c r="M20" s="14" t="s">
        <v>327</v>
      </c>
      <c r="N20" s="2" t="s">
        <v>1467</v>
      </c>
      <c r="O20" s="10">
        <v>1</v>
      </c>
      <c r="P20" s="10"/>
      <c r="Q20" s="10"/>
      <c r="R20" s="9"/>
      <c r="S20" s="9"/>
      <c r="T20" s="9"/>
      <c r="U20" s="45">
        <v>31.799999999999997</v>
      </c>
      <c r="V20" s="45">
        <v>31.799999999999997</v>
      </c>
      <c r="W20" s="23"/>
      <c r="X20" s="6">
        <v>2.65</v>
      </c>
      <c r="AB20" s="45"/>
      <c r="AC20">
        <v>2</v>
      </c>
      <c r="AD20">
        <v>13</v>
      </c>
      <c r="AE20">
        <v>0</v>
      </c>
      <c r="AF20" s="23">
        <v>2.65</v>
      </c>
      <c r="AG20">
        <v>2</v>
      </c>
      <c r="AH20">
        <v>13</v>
      </c>
      <c r="AI20">
        <v>0</v>
      </c>
      <c r="AJ20" s="23">
        <v>2.65</v>
      </c>
      <c r="AK20" s="23"/>
      <c r="BB20" s="7"/>
      <c r="BG20" s="23">
        <v>2.65</v>
      </c>
      <c r="BP20" s="34"/>
      <c r="BS20" s="21"/>
      <c r="BW20" s="20">
        <v>31.799999999999997</v>
      </c>
      <c r="BX20" s="20">
        <v>31.799999999999997</v>
      </c>
      <c r="CJ20">
        <v>1419</v>
      </c>
      <c r="CK20" s="2" t="s">
        <v>593</v>
      </c>
    </row>
    <row r="21" spans="1:89" ht="12.75">
      <c r="A21" s="15">
        <v>1419</v>
      </c>
      <c r="B21" s="14" t="s">
        <v>1077</v>
      </c>
      <c r="C21" s="14" t="s">
        <v>558</v>
      </c>
      <c r="D21" s="14" t="s">
        <v>256</v>
      </c>
      <c r="E21" s="14" t="s">
        <v>272</v>
      </c>
      <c r="F21" s="2" t="s">
        <v>102</v>
      </c>
      <c r="G21" s="2"/>
      <c r="H21" s="2" t="s">
        <v>591</v>
      </c>
      <c r="I21" s="2" t="s">
        <v>388</v>
      </c>
      <c r="J21" s="14" t="s">
        <v>326</v>
      </c>
      <c r="K21" s="2" t="s">
        <v>595</v>
      </c>
      <c r="L21" s="14" t="s">
        <v>585</v>
      </c>
      <c r="M21" s="14" t="s">
        <v>334</v>
      </c>
      <c r="N21" s="2" t="s">
        <v>762</v>
      </c>
      <c r="O21" s="10">
        <v>1</v>
      </c>
      <c r="P21" s="10"/>
      <c r="Q21" s="10"/>
      <c r="R21" s="9"/>
      <c r="S21" s="9"/>
      <c r="T21" s="9"/>
      <c r="U21" s="45">
        <v>17.700000000000003</v>
      </c>
      <c r="V21" s="45">
        <v>17.700000000000003</v>
      </c>
      <c r="W21" s="23"/>
      <c r="X21" s="6">
        <v>1.475</v>
      </c>
      <c r="AB21" s="45"/>
      <c r="AC21">
        <v>1</v>
      </c>
      <c r="AD21">
        <v>9</v>
      </c>
      <c r="AE21">
        <v>6</v>
      </c>
      <c r="AF21" s="23">
        <v>1.475</v>
      </c>
      <c r="AG21">
        <v>1</v>
      </c>
      <c r="AH21">
        <v>9</v>
      </c>
      <c r="AI21">
        <v>6</v>
      </c>
      <c r="AJ21" s="23">
        <v>1.475</v>
      </c>
      <c r="AK21" s="23"/>
      <c r="BB21" s="7"/>
      <c r="BD21" s="23"/>
      <c r="BG21" s="23">
        <v>1.475</v>
      </c>
      <c r="BP21" s="34"/>
      <c r="BS21" s="21"/>
      <c r="BW21" s="20">
        <v>17.700000000000003</v>
      </c>
      <c r="BX21" s="20">
        <v>17.700000000000003</v>
      </c>
      <c r="CJ21">
        <v>1419</v>
      </c>
      <c r="CK21" s="2" t="s">
        <v>595</v>
      </c>
    </row>
    <row r="23" spans="1:89" ht="12.75">
      <c r="A23" s="15">
        <v>1420</v>
      </c>
      <c r="B23" s="14" t="s">
        <v>952</v>
      </c>
      <c r="C23" s="14" t="s">
        <v>558</v>
      </c>
      <c r="D23" s="14" t="s">
        <v>256</v>
      </c>
      <c r="E23" s="14" t="s">
        <v>275</v>
      </c>
      <c r="F23" s="2" t="s">
        <v>113</v>
      </c>
      <c r="G23" s="2">
        <v>2</v>
      </c>
      <c r="H23" s="2" t="s">
        <v>591</v>
      </c>
      <c r="I23" s="2" t="s">
        <v>841</v>
      </c>
      <c r="J23" s="14" t="s">
        <v>326</v>
      </c>
      <c r="K23" s="2" t="s">
        <v>600</v>
      </c>
      <c r="L23" s="14" t="s">
        <v>585</v>
      </c>
      <c r="M23" s="14" t="s">
        <v>745</v>
      </c>
      <c r="N23" s="2" t="s">
        <v>765</v>
      </c>
      <c r="O23" s="10">
        <v>1</v>
      </c>
      <c r="P23" s="10"/>
      <c r="Q23" s="10"/>
      <c r="R23" s="9"/>
      <c r="S23" s="9"/>
      <c r="T23" s="9"/>
      <c r="U23" s="45">
        <v>18.6</v>
      </c>
      <c r="V23" s="45">
        <v>18.6</v>
      </c>
      <c r="W23" s="23"/>
      <c r="X23" s="6">
        <v>1.55</v>
      </c>
      <c r="AC23">
        <v>1</v>
      </c>
      <c r="AD23">
        <v>11</v>
      </c>
      <c r="AE23">
        <v>0</v>
      </c>
      <c r="AF23" s="23">
        <v>1.55</v>
      </c>
      <c r="AG23">
        <v>1</v>
      </c>
      <c r="AH23">
        <v>11</v>
      </c>
      <c r="AI23">
        <v>0</v>
      </c>
      <c r="AJ23" s="23">
        <v>1.55</v>
      </c>
      <c r="AK23" s="23"/>
      <c r="AY23" s="19"/>
      <c r="AZ23" s="7"/>
      <c r="BG23" s="23">
        <v>1.55</v>
      </c>
      <c r="BP23" s="34"/>
      <c r="BS23" s="21"/>
      <c r="BW23" s="20">
        <v>18.6</v>
      </c>
      <c r="BX23" s="20">
        <v>18.6</v>
      </c>
      <c r="CJ23">
        <v>1420</v>
      </c>
      <c r="CK23" s="2" t="s">
        <v>600</v>
      </c>
    </row>
    <row r="24" spans="1:90" ht="12.75">
      <c r="A24" s="15">
        <v>1420</v>
      </c>
      <c r="B24" s="14" t="s">
        <v>952</v>
      </c>
      <c r="C24" s="14" t="s">
        <v>558</v>
      </c>
      <c r="D24" s="14" t="s">
        <v>256</v>
      </c>
      <c r="E24" s="14" t="s">
        <v>275</v>
      </c>
      <c r="F24" s="2" t="s">
        <v>114</v>
      </c>
      <c r="G24" s="2">
        <v>2</v>
      </c>
      <c r="H24" s="2" t="s">
        <v>591</v>
      </c>
      <c r="I24" s="2" t="s">
        <v>522</v>
      </c>
      <c r="J24" s="14" t="s">
        <v>326</v>
      </c>
      <c r="K24" s="2" t="s">
        <v>596</v>
      </c>
      <c r="L24" s="14" t="s">
        <v>585</v>
      </c>
      <c r="M24" s="14" t="s">
        <v>348</v>
      </c>
      <c r="N24" s="2" t="s">
        <v>249</v>
      </c>
      <c r="O24" s="10" t="s">
        <v>3</v>
      </c>
      <c r="P24" s="10"/>
      <c r="Q24" s="10"/>
      <c r="R24" s="9"/>
      <c r="S24" s="9"/>
      <c r="T24" s="9"/>
      <c r="U24" s="45"/>
      <c r="V24" s="45">
        <v>17.4</v>
      </c>
      <c r="W24" s="23"/>
      <c r="X24" s="6">
        <v>1.45</v>
      </c>
      <c r="AB24" s="45"/>
      <c r="AG24">
        <v>1</v>
      </c>
      <c r="AH24">
        <v>9</v>
      </c>
      <c r="AI24">
        <v>0</v>
      </c>
      <c r="AJ24" s="23">
        <v>1.45</v>
      </c>
      <c r="AX24" s="23"/>
      <c r="BB24" s="7"/>
      <c r="BG24" s="23">
        <v>1.45</v>
      </c>
      <c r="BP24" s="34"/>
      <c r="BS24" s="21"/>
      <c r="BW24" s="20"/>
      <c r="BX24" s="20">
        <v>17.4</v>
      </c>
      <c r="CJ24">
        <v>1420</v>
      </c>
      <c r="CK24" s="2" t="s">
        <v>596</v>
      </c>
      <c r="CL24" t="s">
        <v>1049</v>
      </c>
    </row>
    <row r="25" spans="1:89" ht="12.75">
      <c r="A25" s="15">
        <v>1420</v>
      </c>
      <c r="B25" s="14" t="s">
        <v>952</v>
      </c>
      <c r="C25" s="14" t="s">
        <v>558</v>
      </c>
      <c r="D25" s="14" t="s">
        <v>256</v>
      </c>
      <c r="E25" s="14" t="s">
        <v>275</v>
      </c>
      <c r="F25" s="2" t="s">
        <v>115</v>
      </c>
      <c r="G25" s="2">
        <v>2</v>
      </c>
      <c r="H25" s="2" t="s">
        <v>591</v>
      </c>
      <c r="I25" s="2" t="s">
        <v>1229</v>
      </c>
      <c r="J25" s="14" t="s">
        <v>326</v>
      </c>
      <c r="K25" s="2" t="s">
        <v>603</v>
      </c>
      <c r="L25" s="14" t="s">
        <v>585</v>
      </c>
      <c r="M25" s="14" t="s">
        <v>1177</v>
      </c>
      <c r="N25" s="2" t="s">
        <v>810</v>
      </c>
      <c r="O25" s="10">
        <v>1</v>
      </c>
      <c r="P25" s="10"/>
      <c r="Q25" s="10"/>
      <c r="R25" s="9"/>
      <c r="S25" s="9"/>
      <c r="T25" s="9"/>
      <c r="U25" s="45">
        <v>16.200000000000003</v>
      </c>
      <c r="V25" s="45">
        <v>16.200000000000003</v>
      </c>
      <c r="W25" s="23"/>
      <c r="X25" s="6">
        <v>1.35</v>
      </c>
      <c r="AB25" s="45"/>
      <c r="AC25">
        <v>1</v>
      </c>
      <c r="AD25">
        <v>7</v>
      </c>
      <c r="AE25">
        <v>0</v>
      </c>
      <c r="AF25" s="23">
        <v>1.35</v>
      </c>
      <c r="AG25">
        <v>1</v>
      </c>
      <c r="AH25">
        <v>7</v>
      </c>
      <c r="AI25">
        <v>0</v>
      </c>
      <c r="AJ25" s="23">
        <v>1.35</v>
      </c>
      <c r="BB25" s="7"/>
      <c r="BE25" s="23"/>
      <c r="BG25" s="23">
        <v>1.35</v>
      </c>
      <c r="BP25" s="34"/>
      <c r="BS25" s="21"/>
      <c r="BW25" s="20">
        <v>16.200000000000003</v>
      </c>
      <c r="BX25" s="20">
        <v>16.200000000000003</v>
      </c>
      <c r="CJ25">
        <v>1420</v>
      </c>
      <c r="CK25" s="2" t="s">
        <v>603</v>
      </c>
    </row>
    <row r="27" spans="1:89" ht="12.75">
      <c r="A27" s="15">
        <v>1419</v>
      </c>
      <c r="B27" s="14" t="s">
        <v>1076</v>
      </c>
      <c r="C27" s="14" t="s">
        <v>1267</v>
      </c>
      <c r="D27" s="14" t="s">
        <v>13</v>
      </c>
      <c r="E27" s="14" t="s">
        <v>267</v>
      </c>
      <c r="F27" s="2" t="s">
        <v>116</v>
      </c>
      <c r="G27" s="2"/>
      <c r="H27" s="2" t="s">
        <v>591</v>
      </c>
      <c r="I27" s="2" t="s">
        <v>393</v>
      </c>
      <c r="J27" s="14" t="s">
        <v>326</v>
      </c>
      <c r="K27" s="2" t="s">
        <v>594</v>
      </c>
      <c r="L27" s="14" t="s">
        <v>585</v>
      </c>
      <c r="M27" s="14" t="s">
        <v>327</v>
      </c>
      <c r="N27" s="2" t="s">
        <v>1293</v>
      </c>
      <c r="O27" s="10">
        <v>2</v>
      </c>
      <c r="P27" s="10">
        <v>14</v>
      </c>
      <c r="Q27" s="10"/>
      <c r="R27" s="9"/>
      <c r="S27" s="9"/>
      <c r="T27" s="9"/>
      <c r="U27" s="45">
        <v>71.9</v>
      </c>
      <c r="V27" s="45">
        <v>30</v>
      </c>
      <c r="W27" s="23">
        <v>17.000000000000007</v>
      </c>
      <c r="X27" s="6">
        <v>2.5</v>
      </c>
      <c r="AB27" s="45"/>
      <c r="AC27">
        <v>5</v>
      </c>
      <c r="AD27">
        <v>19</v>
      </c>
      <c r="AE27">
        <v>10</v>
      </c>
      <c r="AF27" s="23">
        <v>5.991666666666666</v>
      </c>
      <c r="AG27">
        <v>2</v>
      </c>
      <c r="AH27">
        <v>10</v>
      </c>
      <c r="AI27">
        <v>0</v>
      </c>
      <c r="AJ27" s="23">
        <v>2.5</v>
      </c>
      <c r="AK27" s="23">
        <v>1.4166666666666672</v>
      </c>
      <c r="BB27" s="23"/>
      <c r="BD27" s="23">
        <v>2.5</v>
      </c>
      <c r="BG27" s="7"/>
      <c r="BP27" s="34"/>
      <c r="BS27" s="21"/>
      <c r="BW27" s="20">
        <v>71.9</v>
      </c>
      <c r="BX27" s="20">
        <v>30</v>
      </c>
      <c r="CJ27">
        <v>1419</v>
      </c>
      <c r="CK27" s="2" t="s">
        <v>594</v>
      </c>
    </row>
    <row r="29" spans="1:89" ht="12.75">
      <c r="A29" s="15">
        <v>1420</v>
      </c>
      <c r="B29" s="14" t="s">
        <v>1077</v>
      </c>
      <c r="C29" s="14" t="s">
        <v>558</v>
      </c>
      <c r="D29" s="14" t="s">
        <v>257</v>
      </c>
      <c r="E29" s="14" t="s">
        <v>280</v>
      </c>
      <c r="F29" s="2" t="s">
        <v>128</v>
      </c>
      <c r="G29" s="2">
        <v>2</v>
      </c>
      <c r="H29" t="s">
        <v>591</v>
      </c>
      <c r="I29" t="s">
        <v>1127</v>
      </c>
      <c r="J29" s="14" t="s">
        <v>326</v>
      </c>
      <c r="K29" s="2" t="s">
        <v>602</v>
      </c>
      <c r="L29" s="14" t="s">
        <v>585</v>
      </c>
      <c r="M29" s="14" t="s">
        <v>1107</v>
      </c>
      <c r="N29" s="2" t="s">
        <v>765</v>
      </c>
      <c r="O29" s="10">
        <v>1</v>
      </c>
      <c r="P29" s="10"/>
      <c r="Q29" s="10"/>
      <c r="R29" s="9"/>
      <c r="S29" s="9"/>
      <c r="T29" s="9"/>
      <c r="U29" s="45">
        <v>17.1</v>
      </c>
      <c r="V29" s="45">
        <v>17.1</v>
      </c>
      <c r="X29" s="6">
        <v>1.425</v>
      </c>
      <c r="AB29" s="45"/>
      <c r="AC29">
        <v>1</v>
      </c>
      <c r="AD29">
        <v>8</v>
      </c>
      <c r="AE29">
        <v>6</v>
      </c>
      <c r="AF29" s="23">
        <v>1.425</v>
      </c>
      <c r="AG29">
        <v>1</v>
      </c>
      <c r="AH29">
        <v>8</v>
      </c>
      <c r="AI29">
        <v>6</v>
      </c>
      <c r="AJ29" s="23">
        <v>1.425</v>
      </c>
      <c r="AU29" s="7"/>
      <c r="AV29" s="7"/>
      <c r="BG29" s="23">
        <v>1.425</v>
      </c>
      <c r="BP29" s="34"/>
      <c r="BS29" s="21"/>
      <c r="BW29" s="20">
        <v>17.1</v>
      </c>
      <c r="BX29" s="20">
        <v>17.1</v>
      </c>
      <c r="CJ29">
        <v>1420</v>
      </c>
      <c r="CK29" s="2" t="s">
        <v>602</v>
      </c>
    </row>
    <row r="31" spans="1:89" ht="12.75">
      <c r="A31" s="15">
        <v>1421</v>
      </c>
      <c r="B31" s="14" t="s">
        <v>1076</v>
      </c>
      <c r="C31" s="14" t="s">
        <v>558</v>
      </c>
      <c r="D31" s="14" t="s">
        <v>258</v>
      </c>
      <c r="E31" s="14" t="s">
        <v>279</v>
      </c>
      <c r="F31" s="2" t="s">
        <v>155</v>
      </c>
      <c r="G31" s="2">
        <v>2</v>
      </c>
      <c r="H31" s="2" t="s">
        <v>591</v>
      </c>
      <c r="I31" s="2" t="s">
        <v>590</v>
      </c>
      <c r="J31" s="14" t="s">
        <v>326</v>
      </c>
      <c r="K31" s="2" t="s">
        <v>598</v>
      </c>
      <c r="L31" s="14" t="s">
        <v>585</v>
      </c>
      <c r="M31" s="14" t="s">
        <v>3</v>
      </c>
      <c r="N31" s="2" t="s">
        <v>762</v>
      </c>
      <c r="O31" s="10">
        <v>3</v>
      </c>
      <c r="P31" s="10"/>
      <c r="Q31" s="10"/>
      <c r="R31" s="9"/>
      <c r="S31" s="9"/>
      <c r="T31" s="9"/>
      <c r="U31" s="45">
        <v>50.39999999999999</v>
      </c>
      <c r="V31" s="45">
        <v>16.799999999999997</v>
      </c>
      <c r="W31" s="23"/>
      <c r="X31" s="6">
        <v>1.4</v>
      </c>
      <c r="AB31" s="45"/>
      <c r="AF31" s="23">
        <v>4.199999999999999</v>
      </c>
      <c r="AG31">
        <v>1</v>
      </c>
      <c r="AH31">
        <v>8</v>
      </c>
      <c r="AI31">
        <v>0</v>
      </c>
      <c r="AJ31" s="23">
        <v>1.4</v>
      </c>
      <c r="AU31" s="7"/>
      <c r="AV31" s="7"/>
      <c r="BG31" s="23">
        <v>1.4</v>
      </c>
      <c r="BP31" s="34"/>
      <c r="BS31" s="21"/>
      <c r="BW31" s="20">
        <v>50.39999999999999</v>
      </c>
      <c r="BX31" s="20">
        <v>16.799999999999997</v>
      </c>
      <c r="CJ31">
        <v>1421</v>
      </c>
      <c r="CK31" s="2" t="s">
        <v>598</v>
      </c>
    </row>
    <row r="32" spans="1:89" ht="12.75">
      <c r="A32" s="15">
        <v>1421</v>
      </c>
      <c r="B32" s="14" t="s">
        <v>1076</v>
      </c>
      <c r="C32" s="14" t="s">
        <v>558</v>
      </c>
      <c r="D32" s="14" t="s">
        <v>258</v>
      </c>
      <c r="E32" s="14" t="s">
        <v>279</v>
      </c>
      <c r="F32" s="2" t="s">
        <v>156</v>
      </c>
      <c r="G32" s="2">
        <v>2</v>
      </c>
      <c r="H32" s="2" t="s">
        <v>591</v>
      </c>
      <c r="I32" s="2" t="s">
        <v>590</v>
      </c>
      <c r="J32" s="14" t="s">
        <v>326</v>
      </c>
      <c r="K32" s="2" t="s">
        <v>598</v>
      </c>
      <c r="L32" s="14" t="s">
        <v>585</v>
      </c>
      <c r="M32" s="14" t="s">
        <v>3</v>
      </c>
      <c r="N32" s="2" t="s">
        <v>762</v>
      </c>
      <c r="O32" s="10">
        <v>2</v>
      </c>
      <c r="P32" s="10"/>
      <c r="Q32" s="10"/>
      <c r="R32" s="9"/>
      <c r="S32" s="9"/>
      <c r="T32" s="9"/>
      <c r="U32" s="45">
        <v>34.8</v>
      </c>
      <c r="V32" s="45">
        <v>17.4</v>
      </c>
      <c r="W32" s="23"/>
      <c r="X32" s="6">
        <v>1.45</v>
      </c>
      <c r="AB32" s="45"/>
      <c r="AF32" s="23">
        <v>2.9</v>
      </c>
      <c r="AG32">
        <v>1</v>
      </c>
      <c r="AH32">
        <v>9</v>
      </c>
      <c r="AI32">
        <v>0</v>
      </c>
      <c r="AJ32" s="23">
        <v>1.45</v>
      </c>
      <c r="AU32" s="7"/>
      <c r="AV32" s="7"/>
      <c r="BG32" s="23">
        <v>1.45</v>
      </c>
      <c r="BP32" s="34"/>
      <c r="BS32" s="21"/>
      <c r="BW32" s="20">
        <v>34.8</v>
      </c>
      <c r="BX32" s="20">
        <v>17.4</v>
      </c>
      <c r="CJ32">
        <v>1421</v>
      </c>
      <c r="CK32" s="2" t="s">
        <v>598</v>
      </c>
    </row>
    <row r="34" spans="1:90" ht="12.75">
      <c r="A34" s="15">
        <v>1422</v>
      </c>
      <c r="B34" s="14" t="s">
        <v>952</v>
      </c>
      <c r="C34" s="14" t="s">
        <v>558</v>
      </c>
      <c r="D34" s="14" t="s">
        <v>258</v>
      </c>
      <c r="E34" s="14" t="s">
        <v>282</v>
      </c>
      <c r="F34" s="2" t="s">
        <v>166</v>
      </c>
      <c r="G34" s="2">
        <v>2</v>
      </c>
      <c r="H34" s="2" t="s">
        <v>591</v>
      </c>
      <c r="I34" s="2" t="s">
        <v>833</v>
      </c>
      <c r="J34" s="14" t="s">
        <v>326</v>
      </c>
      <c r="K34" s="2" t="s">
        <v>599</v>
      </c>
      <c r="L34" s="14" t="s">
        <v>585</v>
      </c>
      <c r="M34" s="14" t="s">
        <v>746</v>
      </c>
      <c r="N34" s="2" t="s">
        <v>763</v>
      </c>
      <c r="O34" s="10" t="s">
        <v>3</v>
      </c>
      <c r="P34" s="10"/>
      <c r="Q34" s="10"/>
      <c r="R34" s="9"/>
      <c r="S34" s="9"/>
      <c r="T34" s="9"/>
      <c r="U34" s="45"/>
      <c r="V34" s="45">
        <v>16.5</v>
      </c>
      <c r="W34" s="23"/>
      <c r="X34" s="6">
        <v>1.375</v>
      </c>
      <c r="AB34" s="45"/>
      <c r="AF34" s="23"/>
      <c r="AG34">
        <v>1</v>
      </c>
      <c r="AH34">
        <v>7</v>
      </c>
      <c r="AI34">
        <v>6</v>
      </c>
      <c r="AJ34" s="23">
        <v>1.375</v>
      </c>
      <c r="AU34" s="7"/>
      <c r="AV34" s="7"/>
      <c r="BG34" s="23">
        <v>1.375</v>
      </c>
      <c r="BP34" s="34"/>
      <c r="BS34" s="21"/>
      <c r="BX34" s="20">
        <v>16.5</v>
      </c>
      <c r="CJ34">
        <v>1422</v>
      </c>
      <c r="CK34" s="2" t="s">
        <v>599</v>
      </c>
      <c r="CL34" t="s">
        <v>1018</v>
      </c>
    </row>
    <row r="36" spans="1:89" ht="12.75">
      <c r="A36" s="18">
        <v>1423</v>
      </c>
      <c r="B36" s="14" t="s">
        <v>952</v>
      </c>
      <c r="C36" s="14" t="s">
        <v>558</v>
      </c>
      <c r="D36" s="14" t="s">
        <v>259</v>
      </c>
      <c r="E36" s="14" t="s">
        <v>272</v>
      </c>
      <c r="F36" s="33" t="s">
        <v>184</v>
      </c>
      <c r="G36" s="2">
        <v>2</v>
      </c>
      <c r="H36" s="2" t="s">
        <v>591</v>
      </c>
      <c r="I36" s="2" t="s">
        <v>387</v>
      </c>
      <c r="J36" s="14" t="s">
        <v>326</v>
      </c>
      <c r="K36" s="2" t="s">
        <v>593</v>
      </c>
      <c r="L36" s="14" t="s">
        <v>585</v>
      </c>
      <c r="M36" s="14" t="s">
        <v>327</v>
      </c>
      <c r="N36" s="2" t="s">
        <v>762</v>
      </c>
      <c r="O36" s="10">
        <v>5</v>
      </c>
      <c r="P36" s="10"/>
      <c r="Q36" s="10"/>
      <c r="R36" s="9"/>
      <c r="S36" s="9"/>
      <c r="T36" s="9"/>
      <c r="U36" s="45">
        <v>82.5</v>
      </c>
      <c r="V36" s="45">
        <v>16.5</v>
      </c>
      <c r="W36" s="23"/>
      <c r="X36" s="6">
        <v>1.375</v>
      </c>
      <c r="AB36" s="45"/>
      <c r="AF36" s="23">
        <v>6.875</v>
      </c>
      <c r="AG36">
        <v>1</v>
      </c>
      <c r="AH36">
        <v>7</v>
      </c>
      <c r="AI36">
        <v>6</v>
      </c>
      <c r="AJ36" s="23">
        <v>1.375</v>
      </c>
      <c r="AK36" s="23"/>
      <c r="AY36" s="7"/>
      <c r="AZ36" s="19"/>
      <c r="BG36" s="23">
        <v>1.375</v>
      </c>
      <c r="BP36" s="34"/>
      <c r="BS36" s="21"/>
      <c r="BW36" s="20">
        <v>82.5</v>
      </c>
      <c r="BX36" s="20">
        <v>16.5</v>
      </c>
      <c r="CJ36">
        <v>1423</v>
      </c>
      <c r="CK36" s="2" t="s">
        <v>593</v>
      </c>
    </row>
    <row r="37" spans="1:89" ht="12.75">
      <c r="A37" s="18">
        <v>1423</v>
      </c>
      <c r="B37" s="14" t="s">
        <v>952</v>
      </c>
      <c r="C37" s="14" t="s">
        <v>558</v>
      </c>
      <c r="D37" s="14" t="s">
        <v>259</v>
      </c>
      <c r="E37" s="14" t="s">
        <v>272</v>
      </c>
      <c r="F37" s="33" t="s">
        <v>185</v>
      </c>
      <c r="G37" s="2">
        <v>2</v>
      </c>
      <c r="H37" s="2" t="s">
        <v>591</v>
      </c>
      <c r="I37" s="2" t="s">
        <v>523</v>
      </c>
      <c r="J37" s="14" t="s">
        <v>326</v>
      </c>
      <c r="K37" s="2" t="s">
        <v>597</v>
      </c>
      <c r="L37" s="14" t="s">
        <v>585</v>
      </c>
      <c r="M37" s="14" t="s">
        <v>347</v>
      </c>
      <c r="N37" s="2" t="s">
        <v>250</v>
      </c>
      <c r="O37" s="10">
        <v>1</v>
      </c>
      <c r="P37" s="10"/>
      <c r="Q37" s="10"/>
      <c r="R37" s="9"/>
      <c r="S37" s="9"/>
      <c r="T37" s="9"/>
      <c r="U37" s="45">
        <v>16.5</v>
      </c>
      <c r="V37" s="45">
        <v>16.5</v>
      </c>
      <c r="W37" s="23"/>
      <c r="X37" s="6">
        <v>1.375</v>
      </c>
      <c r="AB37" s="45"/>
      <c r="AC37">
        <v>1</v>
      </c>
      <c r="AD37">
        <v>7</v>
      </c>
      <c r="AE37">
        <v>6</v>
      </c>
      <c r="AF37" s="23">
        <v>1.375</v>
      </c>
      <c r="AG37">
        <v>1</v>
      </c>
      <c r="AH37">
        <v>7</v>
      </c>
      <c r="AI37">
        <v>6</v>
      </c>
      <c r="AJ37" s="23">
        <v>1.375</v>
      </c>
      <c r="AK37" s="23"/>
      <c r="AY37" s="7"/>
      <c r="AZ37" s="19"/>
      <c r="BG37" s="23">
        <v>1.375</v>
      </c>
      <c r="BP37" s="34"/>
      <c r="BS37" s="21"/>
      <c r="BW37" s="20">
        <v>16.5</v>
      </c>
      <c r="BX37" s="20">
        <v>16.5</v>
      </c>
      <c r="CJ37">
        <v>1423</v>
      </c>
      <c r="CK37" s="2" t="s">
        <v>597</v>
      </c>
    </row>
    <row r="38" spans="1:89" ht="12.75">
      <c r="A38" s="18">
        <v>1423</v>
      </c>
      <c r="B38" s="14" t="s">
        <v>952</v>
      </c>
      <c r="C38" s="14" t="s">
        <v>558</v>
      </c>
      <c r="D38" s="14" t="s">
        <v>259</v>
      </c>
      <c r="E38" s="14" t="s">
        <v>272</v>
      </c>
      <c r="F38" s="33" t="s">
        <v>186</v>
      </c>
      <c r="G38" s="2">
        <v>2</v>
      </c>
      <c r="H38" s="2" t="s">
        <v>591</v>
      </c>
      <c r="I38" s="2" t="s">
        <v>841</v>
      </c>
      <c r="J38" s="14" t="s">
        <v>326</v>
      </c>
      <c r="K38" s="2" t="s">
        <v>600</v>
      </c>
      <c r="L38" s="14" t="s">
        <v>585</v>
      </c>
      <c r="M38" s="14" t="s">
        <v>745</v>
      </c>
      <c r="N38" s="2" t="s">
        <v>14</v>
      </c>
      <c r="O38" s="10">
        <v>1</v>
      </c>
      <c r="P38" s="10"/>
      <c r="Q38" s="10"/>
      <c r="R38" s="9"/>
      <c r="S38" s="9"/>
      <c r="T38" s="9"/>
      <c r="U38" s="45">
        <v>16.5</v>
      </c>
      <c r="V38" s="45">
        <v>16.5</v>
      </c>
      <c r="W38" s="23"/>
      <c r="X38" s="6">
        <v>1.375</v>
      </c>
      <c r="AB38" s="45"/>
      <c r="AC38">
        <v>1</v>
      </c>
      <c r="AD38">
        <v>7</v>
      </c>
      <c r="AE38">
        <v>6</v>
      </c>
      <c r="AF38" s="23">
        <v>1.375</v>
      </c>
      <c r="AG38">
        <v>1</v>
      </c>
      <c r="AH38">
        <v>7</v>
      </c>
      <c r="AI38">
        <v>6</v>
      </c>
      <c r="AJ38" s="23">
        <v>1.375</v>
      </c>
      <c r="AK38" s="23"/>
      <c r="AL38" s="23"/>
      <c r="AY38" s="19"/>
      <c r="AZ38" s="7"/>
      <c r="BG38" s="23">
        <v>1.375</v>
      </c>
      <c r="BP38" s="34"/>
      <c r="BS38" s="21"/>
      <c r="BW38" s="20">
        <v>16.5</v>
      </c>
      <c r="BX38" s="20">
        <v>16.5</v>
      </c>
      <c r="CJ38">
        <v>1423</v>
      </c>
      <c r="CK38" s="2" t="s">
        <v>600</v>
      </c>
    </row>
    <row r="39" spans="1:89" ht="12.75">
      <c r="A39" s="18">
        <v>1423</v>
      </c>
      <c r="B39" s="14" t="s">
        <v>952</v>
      </c>
      <c r="C39" s="14" t="s">
        <v>558</v>
      </c>
      <c r="D39" s="14" t="s">
        <v>259</v>
      </c>
      <c r="E39" s="14" t="s">
        <v>272</v>
      </c>
      <c r="F39" s="33" t="s">
        <v>187</v>
      </c>
      <c r="G39" s="2">
        <v>2</v>
      </c>
      <c r="H39" s="2" t="s">
        <v>591</v>
      </c>
      <c r="I39" s="2" t="s">
        <v>1231</v>
      </c>
      <c r="J39" s="14" t="s">
        <v>326</v>
      </c>
      <c r="K39" s="2" t="s">
        <v>603</v>
      </c>
      <c r="L39" s="14" t="s">
        <v>585</v>
      </c>
      <c r="M39" s="14" t="s">
        <v>1177</v>
      </c>
      <c r="N39" s="2" t="s">
        <v>810</v>
      </c>
      <c r="O39" s="10">
        <v>1</v>
      </c>
      <c r="P39" s="10"/>
      <c r="Q39" s="10"/>
      <c r="R39" s="9"/>
      <c r="S39" s="9"/>
      <c r="T39" s="9"/>
      <c r="U39" s="45">
        <v>16.5</v>
      </c>
      <c r="V39" s="45">
        <v>16.5</v>
      </c>
      <c r="W39" s="23"/>
      <c r="X39" s="6">
        <v>1.375</v>
      </c>
      <c r="AB39" s="45"/>
      <c r="AC39">
        <v>1</v>
      </c>
      <c r="AD39">
        <v>7</v>
      </c>
      <c r="AE39">
        <v>6</v>
      </c>
      <c r="AF39" s="23">
        <v>1.375</v>
      </c>
      <c r="AG39">
        <v>1</v>
      </c>
      <c r="AH39">
        <v>7</v>
      </c>
      <c r="AI39">
        <v>6</v>
      </c>
      <c r="AJ39" s="23">
        <v>1.375</v>
      </c>
      <c r="AK39" s="23"/>
      <c r="BC39" s="23"/>
      <c r="BG39" s="23">
        <v>1.375</v>
      </c>
      <c r="BP39" s="34"/>
      <c r="BS39" s="21"/>
      <c r="BW39" s="20">
        <v>16.5</v>
      </c>
      <c r="BX39" s="20">
        <v>16.5</v>
      </c>
      <c r="CJ39">
        <v>1423</v>
      </c>
      <c r="CK39" s="2" t="s">
        <v>603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1"/>
  </sheetPr>
  <dimension ref="A1:DA2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8.14062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28125" style="0" customWidth="1"/>
    <col min="10" max="10" width="7.57421875" style="0" customWidth="1"/>
    <col min="11" max="11" width="23.8515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8.140625" style="0" customWidth="1"/>
    <col min="89" max="89" width="23.8515625" style="0" customWidth="1"/>
    <col min="90" max="90" width="77.00390625" style="0" customWidth="1"/>
    <col min="91" max="91" width="13.421875" style="0" customWidth="1"/>
  </cols>
  <sheetData>
    <row r="1" spans="1:88" ht="12.75">
      <c r="A1" s="14"/>
      <c r="B1" s="18" t="s">
        <v>1254</v>
      </c>
      <c r="C1" s="4"/>
      <c r="D1" s="3"/>
      <c r="E1" s="4" t="s">
        <v>442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1418</v>
      </c>
      <c r="B9" s="14" t="s">
        <v>952</v>
      </c>
      <c r="C9" s="14" t="s">
        <v>558</v>
      </c>
      <c r="D9" s="14" t="s">
        <v>254</v>
      </c>
      <c r="E9" s="14" t="s">
        <v>286</v>
      </c>
      <c r="F9" s="2" t="s">
        <v>55</v>
      </c>
      <c r="G9" s="2">
        <v>1</v>
      </c>
      <c r="H9" s="2" t="s">
        <v>1254</v>
      </c>
      <c r="I9" s="2" t="s">
        <v>826</v>
      </c>
      <c r="J9" s="14" t="s">
        <v>326</v>
      </c>
      <c r="K9" s="2" t="s">
        <v>1260</v>
      </c>
      <c r="L9" s="14" t="s">
        <v>1226</v>
      </c>
      <c r="M9" s="14" t="s">
        <v>745</v>
      </c>
      <c r="N9" s="2" t="s">
        <v>1478</v>
      </c>
      <c r="O9" s="10">
        <v>1</v>
      </c>
      <c r="P9" s="5"/>
      <c r="Q9" s="10"/>
      <c r="R9" s="9"/>
      <c r="S9" s="9"/>
      <c r="T9" s="9"/>
      <c r="U9" s="45">
        <v>32.400000000000006</v>
      </c>
      <c r="V9" s="45">
        <v>32.400000000000006</v>
      </c>
      <c r="W9" s="23"/>
      <c r="X9" s="6">
        <v>2.7</v>
      </c>
      <c r="AC9">
        <v>2</v>
      </c>
      <c r="AD9">
        <v>14</v>
      </c>
      <c r="AE9">
        <v>0</v>
      </c>
      <c r="AF9" s="23">
        <v>2.7</v>
      </c>
      <c r="AJ9" s="23">
        <v>2.7</v>
      </c>
      <c r="AK9" s="23"/>
      <c r="BB9" s="7"/>
      <c r="BG9" s="23">
        <v>2.7</v>
      </c>
      <c r="BP9" s="34"/>
      <c r="BS9" s="21"/>
      <c r="BW9" s="20">
        <v>32.400000000000006</v>
      </c>
      <c r="BX9" s="20">
        <v>32.400000000000006</v>
      </c>
      <c r="CJ9">
        <v>1418</v>
      </c>
      <c r="CK9" s="2" t="s">
        <v>1260</v>
      </c>
    </row>
    <row r="11" spans="1:89" ht="12.75">
      <c r="A11" s="15">
        <v>1418</v>
      </c>
      <c r="B11" s="14" t="s">
        <v>1076</v>
      </c>
      <c r="C11" s="14" t="s">
        <v>558</v>
      </c>
      <c r="D11" s="14" t="s">
        <v>255</v>
      </c>
      <c r="E11" s="14" t="s">
        <v>281</v>
      </c>
      <c r="F11" s="2" t="s">
        <v>70</v>
      </c>
      <c r="G11" s="2">
        <v>1</v>
      </c>
      <c r="H11" t="s">
        <v>1254</v>
      </c>
      <c r="I11" t="s">
        <v>406</v>
      </c>
      <c r="J11" s="14" t="s">
        <v>326</v>
      </c>
      <c r="K11" s="2" t="s">
        <v>1255</v>
      </c>
      <c r="L11" s="14" t="s">
        <v>1226</v>
      </c>
      <c r="M11" s="14" t="s">
        <v>327</v>
      </c>
      <c r="N11" s="2" t="s">
        <v>1370</v>
      </c>
      <c r="O11" s="10">
        <v>1</v>
      </c>
      <c r="P11" s="10"/>
      <c r="Q11" s="10"/>
      <c r="R11" s="9"/>
      <c r="S11" s="9"/>
      <c r="T11" s="9"/>
      <c r="U11" s="45">
        <v>30</v>
      </c>
      <c r="V11" s="45">
        <v>30</v>
      </c>
      <c r="W11" s="23"/>
      <c r="X11" s="6">
        <v>2.5</v>
      </c>
      <c r="AC11">
        <v>2</v>
      </c>
      <c r="AD11">
        <v>10</v>
      </c>
      <c r="AE11">
        <v>0</v>
      </c>
      <c r="AF11" s="23">
        <v>2.5</v>
      </c>
      <c r="AG11">
        <v>2</v>
      </c>
      <c r="AH11">
        <v>10</v>
      </c>
      <c r="AI11">
        <v>0</v>
      </c>
      <c r="AJ11" s="23">
        <v>2.5</v>
      </c>
      <c r="AK11" s="23"/>
      <c r="BD11" s="23"/>
      <c r="BE11" s="23">
        <v>2.5</v>
      </c>
      <c r="BS11" s="21"/>
      <c r="BW11" s="20">
        <v>30</v>
      </c>
      <c r="BX11" s="20">
        <v>30</v>
      </c>
      <c r="CJ11">
        <v>1418</v>
      </c>
      <c r="CK11" s="2" t="s">
        <v>1255</v>
      </c>
    </row>
    <row r="13" spans="1:89" ht="12.75">
      <c r="A13" s="15">
        <v>1419</v>
      </c>
      <c r="B13" s="14" t="s">
        <v>952</v>
      </c>
      <c r="C13" s="14" t="s">
        <v>558</v>
      </c>
      <c r="D13" s="14" t="s">
        <v>255</v>
      </c>
      <c r="E13" s="14" t="s">
        <v>284</v>
      </c>
      <c r="F13" s="2" t="s">
        <v>81</v>
      </c>
      <c r="G13" s="2">
        <v>2</v>
      </c>
      <c r="H13" s="2" t="s">
        <v>1254</v>
      </c>
      <c r="I13" s="2" t="s">
        <v>1221</v>
      </c>
      <c r="J13" s="14" t="s">
        <v>326</v>
      </c>
      <c r="K13" s="2" t="s">
        <v>1262</v>
      </c>
      <c r="L13" s="14" t="s">
        <v>1226</v>
      </c>
      <c r="M13" s="14" t="s">
        <v>3</v>
      </c>
      <c r="N13" s="2" t="s">
        <v>1171</v>
      </c>
      <c r="O13" s="10">
        <v>1</v>
      </c>
      <c r="P13" s="10"/>
      <c r="Q13" s="10"/>
      <c r="R13" s="9"/>
      <c r="S13" s="9"/>
      <c r="T13" s="9"/>
      <c r="U13" s="45">
        <v>30</v>
      </c>
      <c r="V13" s="45">
        <v>30</v>
      </c>
      <c r="W13" s="23"/>
      <c r="X13" s="6">
        <v>2.5</v>
      </c>
      <c r="AC13">
        <v>2</v>
      </c>
      <c r="AD13">
        <v>10</v>
      </c>
      <c r="AE13">
        <v>0</v>
      </c>
      <c r="AF13" s="23">
        <v>2.5</v>
      </c>
      <c r="AG13">
        <v>2</v>
      </c>
      <c r="AH13">
        <v>10</v>
      </c>
      <c r="AI13">
        <v>0</v>
      </c>
      <c r="AJ13" s="23">
        <v>2.5</v>
      </c>
      <c r="BG13" s="23">
        <v>2.5</v>
      </c>
      <c r="BP13" s="34"/>
      <c r="BS13" s="21"/>
      <c r="BW13" s="20">
        <v>30</v>
      </c>
      <c r="BX13" s="20">
        <v>30</v>
      </c>
      <c r="CJ13">
        <v>1419</v>
      </c>
      <c r="CK13" s="2" t="s">
        <v>1262</v>
      </c>
    </row>
    <row r="15" spans="1:90" ht="12.75">
      <c r="A15" s="15" t="s">
        <v>12</v>
      </c>
      <c r="B15" s="14" t="s">
        <v>3</v>
      </c>
      <c r="C15" s="14" t="s">
        <v>1267</v>
      </c>
      <c r="D15" s="14" t="s">
        <v>12</v>
      </c>
      <c r="E15" s="14" t="s">
        <v>270</v>
      </c>
      <c r="F15" s="2" t="s">
        <v>88</v>
      </c>
      <c r="G15" s="2"/>
      <c r="H15" s="2" t="s">
        <v>1254</v>
      </c>
      <c r="I15" s="2" t="s">
        <v>516</v>
      </c>
      <c r="J15" s="14" t="s">
        <v>326</v>
      </c>
      <c r="K15" s="2" t="s">
        <v>1258</v>
      </c>
      <c r="L15" s="14" t="s">
        <v>1226</v>
      </c>
      <c r="M15" s="14" t="s">
        <v>347</v>
      </c>
      <c r="N15" s="2" t="s">
        <v>1293</v>
      </c>
      <c r="O15" s="10">
        <v>2</v>
      </c>
      <c r="P15" s="10">
        <v>23</v>
      </c>
      <c r="Q15" s="10"/>
      <c r="R15" s="9"/>
      <c r="S15" s="9"/>
      <c r="T15" s="9"/>
      <c r="U15" s="45">
        <v>80</v>
      </c>
      <c r="V15" s="45">
        <v>30</v>
      </c>
      <c r="W15" s="23">
        <v>17.391304347826086</v>
      </c>
      <c r="X15" s="6">
        <v>2.5</v>
      </c>
      <c r="AB15" s="45"/>
      <c r="AC15">
        <v>6</v>
      </c>
      <c r="AD15">
        <v>13</v>
      </c>
      <c r="AE15">
        <v>4</v>
      </c>
      <c r="AF15" s="23">
        <v>6.666666666666667</v>
      </c>
      <c r="AG15">
        <v>2</v>
      </c>
      <c r="AH15">
        <v>10</v>
      </c>
      <c r="AI15">
        <v>0</v>
      </c>
      <c r="AJ15" s="23">
        <v>2.5</v>
      </c>
      <c r="AK15" s="23">
        <v>1.4492753623188406</v>
      </c>
      <c r="AX15" s="23"/>
      <c r="BB15" s="7"/>
      <c r="BD15" s="23">
        <v>2.5</v>
      </c>
      <c r="BG15" s="7"/>
      <c r="BP15" s="34"/>
      <c r="BS15" s="21"/>
      <c r="BW15" s="20">
        <v>80</v>
      </c>
      <c r="BX15" s="20">
        <v>30</v>
      </c>
      <c r="CJ15" s="17" t="s">
        <v>12</v>
      </c>
      <c r="CK15" s="2" t="s">
        <v>1258</v>
      </c>
      <c r="CL15" t="s">
        <v>35</v>
      </c>
    </row>
    <row r="17" spans="1:89" ht="12.75">
      <c r="A17" s="15">
        <v>1419</v>
      </c>
      <c r="B17" s="14" t="s">
        <v>1077</v>
      </c>
      <c r="C17" s="14" t="s">
        <v>558</v>
      </c>
      <c r="D17" s="14" t="s">
        <v>256</v>
      </c>
      <c r="E17" s="14" t="s">
        <v>272</v>
      </c>
      <c r="F17" s="2" t="s">
        <v>101</v>
      </c>
      <c r="G17" s="2"/>
      <c r="H17" s="2" t="s">
        <v>1254</v>
      </c>
      <c r="I17" s="2" t="s">
        <v>515</v>
      </c>
      <c r="J17" s="14" t="s">
        <v>326</v>
      </c>
      <c r="K17" s="2" t="s">
        <v>1257</v>
      </c>
      <c r="L17" s="14" t="s">
        <v>1226</v>
      </c>
      <c r="M17" s="14" t="s">
        <v>347</v>
      </c>
      <c r="N17" s="2" t="s">
        <v>1478</v>
      </c>
      <c r="O17" s="10">
        <v>1</v>
      </c>
      <c r="P17" s="10"/>
      <c r="Q17" s="10"/>
      <c r="R17" s="9"/>
      <c r="S17" s="9"/>
      <c r="T17" s="9"/>
      <c r="U17" s="45">
        <v>26.4</v>
      </c>
      <c r="V17" s="45">
        <v>26.4</v>
      </c>
      <c r="W17" s="23"/>
      <c r="X17" s="6">
        <v>2.2</v>
      </c>
      <c r="AB17" s="45"/>
      <c r="AC17">
        <v>2</v>
      </c>
      <c r="AD17">
        <v>4</v>
      </c>
      <c r="AE17">
        <v>0</v>
      </c>
      <c r="AF17" s="23">
        <v>2.2</v>
      </c>
      <c r="AG17">
        <v>2</v>
      </c>
      <c r="AH17">
        <v>4</v>
      </c>
      <c r="AI17">
        <v>0</v>
      </c>
      <c r="AJ17" s="23">
        <v>2.2</v>
      </c>
      <c r="AK17" s="23"/>
      <c r="BB17" s="7"/>
      <c r="BD17" s="23"/>
      <c r="BG17" s="23">
        <v>2.2</v>
      </c>
      <c r="BP17" s="34"/>
      <c r="BS17" s="21"/>
      <c r="BW17" s="20">
        <v>26.4</v>
      </c>
      <c r="BX17" s="20">
        <v>26.4</v>
      </c>
      <c r="CJ17">
        <v>1419</v>
      </c>
      <c r="CK17" s="2" t="s">
        <v>1257</v>
      </c>
    </row>
    <row r="19" spans="1:89" ht="12.75">
      <c r="A19" s="15">
        <v>1420</v>
      </c>
      <c r="B19" s="14" t="s">
        <v>1077</v>
      </c>
      <c r="C19" s="14" t="s">
        <v>558</v>
      </c>
      <c r="D19" s="14" t="s">
        <v>257</v>
      </c>
      <c r="E19" s="14" t="s">
        <v>280</v>
      </c>
      <c r="F19" s="2" t="s">
        <v>125</v>
      </c>
      <c r="G19" s="2">
        <v>1</v>
      </c>
      <c r="H19" s="2" t="s">
        <v>1254</v>
      </c>
      <c r="I19" s="2" t="s">
        <v>407</v>
      </c>
      <c r="J19" s="14" t="s">
        <v>326</v>
      </c>
      <c r="K19" s="2" t="s">
        <v>1263</v>
      </c>
      <c r="L19" s="14" t="s">
        <v>1226</v>
      </c>
      <c r="M19" s="14" t="s">
        <v>1107</v>
      </c>
      <c r="N19" s="2" t="s">
        <v>1361</v>
      </c>
      <c r="O19" s="10">
        <v>1</v>
      </c>
      <c r="P19" s="10"/>
      <c r="Q19" s="10"/>
      <c r="R19" s="9"/>
      <c r="S19" s="9"/>
      <c r="T19" s="9"/>
      <c r="U19" s="45">
        <v>29.25</v>
      </c>
      <c r="V19" s="45">
        <v>29.25</v>
      </c>
      <c r="W19" s="23"/>
      <c r="X19" s="6">
        <v>2.4375</v>
      </c>
      <c r="AB19" s="45"/>
      <c r="AC19">
        <v>2</v>
      </c>
      <c r="AD19">
        <v>8</v>
      </c>
      <c r="AE19">
        <v>9</v>
      </c>
      <c r="AF19" s="23">
        <v>2.4375</v>
      </c>
      <c r="AG19">
        <v>2</v>
      </c>
      <c r="AH19">
        <v>8</v>
      </c>
      <c r="AI19">
        <v>9</v>
      </c>
      <c r="AJ19" s="23">
        <v>2.4375</v>
      </c>
      <c r="AK19" s="23"/>
      <c r="AU19" s="23"/>
      <c r="AV19" s="23"/>
      <c r="AW19" s="7"/>
      <c r="BD19" s="7"/>
      <c r="BE19" s="23">
        <v>2.4375</v>
      </c>
      <c r="BF19" s="19"/>
      <c r="BP19" s="34"/>
      <c r="BS19" s="21"/>
      <c r="BW19" s="20">
        <v>29.25</v>
      </c>
      <c r="BX19" s="20">
        <v>29.25</v>
      </c>
      <c r="CJ19">
        <v>1420</v>
      </c>
      <c r="CK19" s="2" t="s">
        <v>1263</v>
      </c>
    </row>
    <row r="20" spans="1:90" ht="12.75">
      <c r="A20" s="15">
        <v>1420</v>
      </c>
      <c r="B20" s="14" t="s">
        <v>1077</v>
      </c>
      <c r="C20" s="14" t="s">
        <v>558</v>
      </c>
      <c r="D20" s="14" t="s">
        <v>257</v>
      </c>
      <c r="E20" s="14" t="s">
        <v>280</v>
      </c>
      <c r="F20" s="2" t="s">
        <v>126</v>
      </c>
      <c r="G20" s="2">
        <v>1</v>
      </c>
      <c r="H20" s="2" t="s">
        <v>1254</v>
      </c>
      <c r="I20" s="2" t="s">
        <v>403</v>
      </c>
      <c r="J20" s="14" t="s">
        <v>326</v>
      </c>
      <c r="K20" s="2" t="s">
        <v>1255</v>
      </c>
      <c r="L20" s="14" t="s">
        <v>1226</v>
      </c>
      <c r="M20" s="14" t="s">
        <v>327</v>
      </c>
      <c r="N20" s="2" t="s">
        <v>1478</v>
      </c>
      <c r="O20" s="10">
        <v>3.5</v>
      </c>
      <c r="P20" s="10"/>
      <c r="Q20" s="10"/>
      <c r="R20" s="9"/>
      <c r="S20" s="9"/>
      <c r="T20" s="9"/>
      <c r="U20" s="45">
        <v>100.275</v>
      </c>
      <c r="V20" s="45">
        <v>28.65</v>
      </c>
      <c r="W20" s="23"/>
      <c r="X20" s="6">
        <v>2.3875</v>
      </c>
      <c r="AB20" s="45"/>
      <c r="AC20">
        <v>8</v>
      </c>
      <c r="AD20">
        <v>7</v>
      </c>
      <c r="AE20">
        <v>1</v>
      </c>
      <c r="AF20" s="23">
        <v>8.354166666666666</v>
      </c>
      <c r="AG20">
        <v>2</v>
      </c>
      <c r="AH20">
        <v>7</v>
      </c>
      <c r="AI20">
        <v>9</v>
      </c>
      <c r="AJ20" s="23">
        <v>2.3875</v>
      </c>
      <c r="AK20" s="23"/>
      <c r="AW20" s="7"/>
      <c r="BD20" s="7"/>
      <c r="BE20" s="19"/>
      <c r="BF20" s="19"/>
      <c r="BG20" s="23">
        <v>2.3875</v>
      </c>
      <c r="BP20" s="34"/>
      <c r="BS20" s="21"/>
      <c r="BW20" s="20">
        <v>100.275</v>
      </c>
      <c r="BX20" s="20">
        <v>28.65</v>
      </c>
      <c r="CJ20">
        <v>1420</v>
      </c>
      <c r="CK20" s="2" t="s">
        <v>1255</v>
      </c>
      <c r="CL20" t="s">
        <v>37</v>
      </c>
    </row>
    <row r="22" spans="1:89" ht="12.75">
      <c r="A22" s="15">
        <v>1420</v>
      </c>
      <c r="B22" s="14" t="s">
        <v>1076</v>
      </c>
      <c r="C22" s="14" t="s">
        <v>1267</v>
      </c>
      <c r="D22" s="14" t="s">
        <v>40</v>
      </c>
      <c r="E22" s="14" t="s">
        <v>268</v>
      </c>
      <c r="F22" s="2" t="s">
        <v>141</v>
      </c>
      <c r="G22" s="2"/>
      <c r="H22" s="2" t="s">
        <v>1254</v>
      </c>
      <c r="I22" s="2" t="s">
        <v>404</v>
      </c>
      <c r="J22" s="14" t="s">
        <v>326</v>
      </c>
      <c r="K22" s="2" t="s">
        <v>1263</v>
      </c>
      <c r="L22" s="14" t="s">
        <v>1226</v>
      </c>
      <c r="M22" s="14" t="s">
        <v>1107</v>
      </c>
      <c r="N22" s="2" t="s">
        <v>1293</v>
      </c>
      <c r="O22" s="10">
        <v>3</v>
      </c>
      <c r="P22" s="10"/>
      <c r="Q22" s="10"/>
      <c r="R22" s="9"/>
      <c r="S22" s="9"/>
      <c r="T22" s="9"/>
      <c r="U22" s="45">
        <v>84.15</v>
      </c>
      <c r="V22" s="45">
        <v>28.049999999999997</v>
      </c>
      <c r="X22" s="6">
        <v>2.3375</v>
      </c>
      <c r="AB22" s="45"/>
      <c r="AC22">
        <v>7</v>
      </c>
      <c r="AD22">
        <v>0</v>
      </c>
      <c r="AE22">
        <v>3</v>
      </c>
      <c r="AF22" s="23">
        <v>7.0125</v>
      </c>
      <c r="AG22">
        <v>2</v>
      </c>
      <c r="AH22">
        <v>6</v>
      </c>
      <c r="AI22">
        <v>9</v>
      </c>
      <c r="AJ22" s="23">
        <v>2.3375</v>
      </c>
      <c r="AU22" s="7"/>
      <c r="AV22" s="7"/>
      <c r="BD22" s="23">
        <v>2.3375</v>
      </c>
      <c r="BP22" s="34"/>
      <c r="BS22" s="21"/>
      <c r="BW22" s="20">
        <v>84.15</v>
      </c>
      <c r="BX22" s="20">
        <v>28.049999999999997</v>
      </c>
      <c r="CJ22">
        <v>1420</v>
      </c>
      <c r="CK22" s="2" t="s">
        <v>1263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5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12.0039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12.00390625" style="0" customWidth="1"/>
    <col min="11" max="11" width="19.00390625" style="0" customWidth="1"/>
    <col min="14" max="14" width="10.7109375" style="0" customWidth="1"/>
    <col min="15" max="15" width="9.4218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8" max="8" width="12.8515625" style="0" customWidth="1"/>
    <col min="9" max="9" width="26.28125" style="0" customWidth="1"/>
    <col min="11" max="11" width="22.421875" style="0" customWidth="1"/>
    <col min="14" max="14" width="10.710937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71" max="71" width="13.8515625" style="0" customWidth="1"/>
    <col min="72" max="74" width="19.0039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2.28125" style="0" customWidth="1"/>
    <col min="87" max="87" width="13.00390625" style="0" customWidth="1"/>
    <col min="89" max="89" width="22.42187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3.8515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6" max="56" width="13.421875" style="0" customWidth="1"/>
    <col min="57" max="57" width="10.140625" style="0" customWidth="1"/>
    <col min="62" max="62" width="11.7109375" style="0" customWidth="1"/>
    <col min="63" max="63" width="13.2812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710937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5742187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6.5742187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V484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9.140625" style="14" customWidth="1"/>
    <col min="2" max="2" width="17.8515625" style="14" customWidth="1"/>
    <col min="3" max="3" width="9.57421875" style="14" customWidth="1"/>
    <col min="4" max="4" width="9.140625" style="14" customWidth="1"/>
    <col min="5" max="5" width="6.421875" style="17" customWidth="1"/>
    <col min="6" max="6" width="10.28125" style="9" customWidth="1"/>
    <col min="7" max="7" width="9.00390625" style="17" customWidth="1"/>
    <col min="8" max="8" width="13.57421875" style="2" customWidth="1"/>
    <col min="9" max="9" width="65.8515625" style="2" customWidth="1"/>
    <col min="10" max="10" width="7.7109375" style="14" customWidth="1"/>
    <col min="11" max="11" width="48.00390625" style="17" customWidth="1"/>
    <col min="12" max="12" width="6.421875" style="14" customWidth="1"/>
    <col min="13" max="13" width="13.57421875" style="14" customWidth="1"/>
    <col min="14" max="14" width="55.00390625" style="2" customWidth="1"/>
    <col min="15" max="15" width="9.8515625" style="10" customWidth="1"/>
    <col min="16" max="16" width="9.00390625" style="10" customWidth="1"/>
    <col min="17" max="17" width="8.28125" style="10" customWidth="1"/>
    <col min="18" max="20" width="14.28125" style="9" customWidth="1"/>
    <col min="21" max="21" width="13.57421875" style="23" customWidth="1"/>
    <col min="22" max="22" width="14.421875" style="23" customWidth="1"/>
    <col min="23" max="23" width="16.140625" style="23" customWidth="1"/>
    <col min="24" max="24" width="14.421875" style="23" customWidth="1"/>
    <col min="25" max="28" width="14.421875" style="0" customWidth="1"/>
    <col min="29" max="32" width="11.57421875" style="0" customWidth="1"/>
    <col min="33" max="35" width="14.421875" style="0" customWidth="1"/>
    <col min="36" max="36" width="14.421875" style="6" customWidth="1"/>
    <col min="37" max="37" width="12.28125" style="0" customWidth="1"/>
    <col min="38" max="38" width="13.140625" style="0" customWidth="1"/>
    <col min="39" max="46" width="14.421875" style="0" customWidth="1"/>
    <col min="47" max="47" width="12.28125" style="0" customWidth="1"/>
    <col min="48" max="48" width="12.00390625" style="0" customWidth="1"/>
    <col min="49" max="49" width="12.8515625" style="0" customWidth="1"/>
    <col min="50" max="52" width="9.00390625" style="0" customWidth="1"/>
    <col min="53" max="53" width="12.57421875" style="0" customWidth="1"/>
    <col min="54" max="54" width="11.28125" style="0" customWidth="1"/>
    <col min="55" max="55" width="9.57421875" style="0" customWidth="1"/>
    <col min="56" max="56" width="14.28125" style="0" customWidth="1"/>
    <col min="57" max="57" width="10.57421875" style="0" customWidth="1"/>
    <col min="58" max="58" width="9.57421875" style="0" customWidth="1"/>
    <col min="59" max="59" width="9.00390625" style="0" customWidth="1"/>
    <col min="60" max="60" width="9.421875" style="0" customWidth="1"/>
    <col min="62" max="62" width="11.57421875" style="0" customWidth="1"/>
    <col min="63" max="63" width="13.57421875" style="0" customWidth="1"/>
    <col min="64" max="64" width="8.57421875" style="0" customWidth="1"/>
    <col min="65" max="66" width="10.00390625" style="0" customWidth="1"/>
    <col min="67" max="67" width="9.8515625" style="0" customWidth="1"/>
    <col min="68" max="68" width="11.00390625" style="0" customWidth="1"/>
    <col min="69" max="69" width="8.140625" style="0" customWidth="1"/>
    <col min="70" max="70" width="9.8515625" style="0" customWidth="1"/>
    <col min="71" max="71" width="13.140625" style="0" customWidth="1"/>
    <col min="72" max="74" width="19.28125" style="0" customWidth="1"/>
    <col min="75" max="75" width="11.28125" style="0" customWidth="1"/>
    <col min="76" max="76" width="10.140625" style="0" customWidth="1"/>
    <col min="77" max="78" width="11.421875" style="0" customWidth="1"/>
    <col min="79" max="79" width="12.57421875" style="0" customWidth="1"/>
    <col min="80" max="80" width="13.7109375" style="0" customWidth="1"/>
    <col min="81" max="82" width="15.421875" style="0" customWidth="1"/>
    <col min="83" max="83" width="14.28125" style="0" customWidth="1"/>
    <col min="84" max="84" width="19.7109375" style="0" customWidth="1"/>
    <col min="85" max="85" width="10.00390625" style="0" customWidth="1"/>
    <col min="86" max="86" width="12.7109375" style="0" customWidth="1"/>
    <col min="87" max="87" width="13.7109375" style="0" customWidth="1"/>
    <col min="89" max="89" width="48.00390625" style="0" customWidth="1"/>
    <col min="90" max="90" width="206.140625" style="0" customWidth="1"/>
    <col min="91" max="91" width="12.7109375" style="0" customWidth="1"/>
    <col min="92" max="100" width="8.421875" style="0" customWidth="1"/>
  </cols>
  <sheetData>
    <row r="1" spans="2:88" ht="12.75">
      <c r="B1" s="18" t="s">
        <v>429</v>
      </c>
      <c r="C1" s="4"/>
      <c r="D1" s="3"/>
      <c r="E1" s="4" t="s">
        <v>443</v>
      </c>
      <c r="F1" s="26"/>
      <c r="G1" s="39"/>
      <c r="H1" s="3"/>
      <c r="J1" s="16"/>
      <c r="L1" s="16"/>
      <c r="M1" s="16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E2" s="14"/>
      <c r="F2" s="26"/>
      <c r="G2" s="39"/>
      <c r="H2" s="3"/>
      <c r="J2" s="16"/>
      <c r="L2" s="16"/>
      <c r="M2" s="16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2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  <c r="CN3" s="1"/>
    </row>
    <row r="4" spans="1:92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2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8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  <c r="CN4" s="1"/>
    </row>
    <row r="5" spans="1:92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27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  <c r="CN5" s="1"/>
    </row>
    <row r="6" spans="12:92" ht="12.75"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  <c r="CN6" s="1"/>
    </row>
    <row r="7" spans="1:256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27">
        <v>61</v>
      </c>
      <c r="BK7" s="27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18">
        <v>76</v>
      </c>
      <c r="BZ7" s="18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27">
        <v>89</v>
      </c>
      <c r="CM7" s="18">
        <v>90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89" ht="12.75">
      <c r="A8" s="15"/>
      <c r="E8" s="14"/>
      <c r="F8" s="2"/>
      <c r="G8" s="2"/>
      <c r="K8" s="2"/>
      <c r="U8" s="45"/>
      <c r="V8" s="45"/>
      <c r="AF8" s="23"/>
      <c r="AK8" s="23"/>
      <c r="BG8" s="6"/>
      <c r="BP8" s="45"/>
      <c r="BQ8" s="36"/>
      <c r="BR8" s="36"/>
      <c r="BS8" s="21"/>
      <c r="BT8" s="34"/>
      <c r="BU8" s="34"/>
      <c r="BV8" s="36"/>
      <c r="CK8" s="2"/>
    </row>
    <row r="9" spans="1:90" ht="12.75">
      <c r="A9" s="15">
        <v>1418</v>
      </c>
      <c r="B9" s="14" t="s">
        <v>952</v>
      </c>
      <c r="C9" s="14" t="s">
        <v>558</v>
      </c>
      <c r="D9" s="14" t="s">
        <v>254</v>
      </c>
      <c r="E9" s="14" t="s">
        <v>286</v>
      </c>
      <c r="F9" s="2" t="s">
        <v>48</v>
      </c>
      <c r="G9" s="2">
        <v>1</v>
      </c>
      <c r="H9" s="2" t="s">
        <v>428</v>
      </c>
      <c r="I9" s="2" t="s">
        <v>528</v>
      </c>
      <c r="J9" s="14" t="s">
        <v>326</v>
      </c>
      <c r="K9" s="2" t="s">
        <v>439</v>
      </c>
      <c r="L9" s="14" t="s">
        <v>408</v>
      </c>
      <c r="M9" s="14" t="s">
        <v>353</v>
      </c>
      <c r="N9" s="2" t="s">
        <v>1496</v>
      </c>
      <c r="O9" s="5">
        <v>14.5</v>
      </c>
      <c r="U9" s="45">
        <f aca="true" t="shared" si="0" ref="U9:U16">O9*V9</f>
        <v>1174.5</v>
      </c>
      <c r="V9" s="45">
        <f aca="true" t="shared" si="1" ref="V9:V16">12*X9</f>
        <v>81</v>
      </c>
      <c r="X9" s="6">
        <f>6+15/20</f>
        <v>6.75</v>
      </c>
      <c r="AF9" s="23">
        <f>O9*X9</f>
        <v>97.875</v>
      </c>
      <c r="AJ9" s="23">
        <f aca="true" t="shared" si="2" ref="AJ9:AJ16">X9*1</f>
        <v>6.75</v>
      </c>
      <c r="AK9" s="23"/>
      <c r="AU9" s="23"/>
      <c r="AX9" s="23">
        <v>6.75</v>
      </c>
      <c r="BG9" s="6"/>
      <c r="BP9" s="45"/>
      <c r="BQ9" s="36"/>
      <c r="BR9" s="36"/>
      <c r="BS9" s="21"/>
      <c r="BT9" s="34"/>
      <c r="BU9" s="34"/>
      <c r="BV9" s="36"/>
      <c r="BW9" s="20">
        <f aca="true" t="shared" si="3" ref="BW9:BW16">U9+(BO9*12*O9)+BT9</f>
        <v>1174.5</v>
      </c>
      <c r="BX9" s="20">
        <f aca="true" t="shared" si="4" ref="BX9:BX16">BW9/O9</f>
        <v>81</v>
      </c>
      <c r="CJ9">
        <f aca="true" t="shared" si="5" ref="CJ9:CJ16">A9*1</f>
        <v>1418</v>
      </c>
      <c r="CK9" s="2" t="s">
        <v>439</v>
      </c>
      <c r="CL9" t="s">
        <v>1011</v>
      </c>
    </row>
    <row r="10" spans="1:90" ht="12.75">
      <c r="A10" s="15">
        <v>1418</v>
      </c>
      <c r="B10" s="14" t="s">
        <v>952</v>
      </c>
      <c r="C10" s="14" t="s">
        <v>558</v>
      </c>
      <c r="D10" s="14" t="s">
        <v>254</v>
      </c>
      <c r="E10" s="14" t="s">
        <v>286</v>
      </c>
      <c r="F10" s="2" t="s">
        <v>49</v>
      </c>
      <c r="G10" s="2">
        <v>1</v>
      </c>
      <c r="H10" s="2" t="s">
        <v>428</v>
      </c>
      <c r="I10" s="2" t="s">
        <v>529</v>
      </c>
      <c r="J10" s="14" t="s">
        <v>326</v>
      </c>
      <c r="K10" s="2" t="s">
        <v>470</v>
      </c>
      <c r="L10" s="14" t="s">
        <v>408</v>
      </c>
      <c r="M10" s="14" t="s">
        <v>1525</v>
      </c>
      <c r="N10" s="2" t="s">
        <v>1496</v>
      </c>
      <c r="O10" s="10">
        <v>14.5</v>
      </c>
      <c r="U10" s="45">
        <f t="shared" si="0"/>
        <v>1174.5</v>
      </c>
      <c r="V10" s="45">
        <f t="shared" si="1"/>
        <v>81</v>
      </c>
      <c r="W10" s="23">
        <f>(20*V10)/33</f>
        <v>49.09090909090909</v>
      </c>
      <c r="X10" s="6">
        <f>6+15/20</f>
        <v>6.75</v>
      </c>
      <c r="AF10" s="23">
        <f>O10*X10</f>
        <v>97.875</v>
      </c>
      <c r="AJ10" s="23">
        <f t="shared" si="2"/>
        <v>6.75</v>
      </c>
      <c r="AK10" s="23">
        <f>W10/12</f>
        <v>4.090909090909091</v>
      </c>
      <c r="AW10" s="7"/>
      <c r="AX10" s="23">
        <v>6.75</v>
      </c>
      <c r="BD10" s="7"/>
      <c r="BE10" s="19"/>
      <c r="BF10" s="19"/>
      <c r="BG10" s="23"/>
      <c r="BP10" s="34"/>
      <c r="BS10" s="21"/>
      <c r="BW10" s="20">
        <f t="shared" si="3"/>
        <v>1174.5</v>
      </c>
      <c r="BX10" s="20">
        <f t="shared" si="4"/>
        <v>81</v>
      </c>
      <c r="CJ10">
        <f t="shared" si="5"/>
        <v>1418</v>
      </c>
      <c r="CK10" s="2" t="s">
        <v>470</v>
      </c>
      <c r="CL10" t="s">
        <v>1012</v>
      </c>
    </row>
    <row r="11" spans="1:90" ht="12.75">
      <c r="A11" s="15">
        <v>1418</v>
      </c>
      <c r="B11" s="14" t="s">
        <v>952</v>
      </c>
      <c r="C11" s="14" t="s">
        <v>558</v>
      </c>
      <c r="D11" s="14" t="s">
        <v>254</v>
      </c>
      <c r="E11" s="14" t="s">
        <v>286</v>
      </c>
      <c r="F11" s="2" t="s">
        <v>50</v>
      </c>
      <c r="G11" s="2">
        <v>1</v>
      </c>
      <c r="H11" s="2" t="s">
        <v>428</v>
      </c>
      <c r="I11" s="2" t="s">
        <v>727</v>
      </c>
      <c r="J11" s="14" t="s">
        <v>326</v>
      </c>
      <c r="K11" s="2" t="s">
        <v>468</v>
      </c>
      <c r="L11" s="14" t="s">
        <v>410</v>
      </c>
      <c r="M11" s="14" t="s">
        <v>1460</v>
      </c>
      <c r="N11" s="2" t="s">
        <v>1499</v>
      </c>
      <c r="O11" s="10">
        <v>11</v>
      </c>
      <c r="U11" s="45">
        <f t="shared" si="0"/>
        <v>620.4000000000001</v>
      </c>
      <c r="V11" s="45">
        <f t="shared" si="1"/>
        <v>56.400000000000006</v>
      </c>
      <c r="W11" s="23">
        <f>(20*V11)/36</f>
        <v>31.333333333333332</v>
      </c>
      <c r="X11" s="6">
        <f>4+14/20</f>
        <v>4.7</v>
      </c>
      <c r="AF11" s="23">
        <f>O11*X11</f>
        <v>51.7</v>
      </c>
      <c r="AJ11" s="23">
        <f t="shared" si="2"/>
        <v>4.7</v>
      </c>
      <c r="AK11" s="23">
        <f>W11/12</f>
        <v>2.611111111111111</v>
      </c>
      <c r="AW11" s="7"/>
      <c r="BD11" s="7"/>
      <c r="BE11" s="19"/>
      <c r="BF11" s="19"/>
      <c r="BG11" s="23"/>
      <c r="BP11" s="34"/>
      <c r="BS11" s="21"/>
      <c r="BW11" s="20">
        <f t="shared" si="3"/>
        <v>620.4000000000001</v>
      </c>
      <c r="BX11" s="20">
        <f t="shared" si="4"/>
        <v>56.400000000000006</v>
      </c>
      <c r="CJ11">
        <f t="shared" si="5"/>
        <v>1418</v>
      </c>
      <c r="CK11" s="2" t="s">
        <v>468</v>
      </c>
      <c r="CL11" t="s">
        <v>1033</v>
      </c>
    </row>
    <row r="12" spans="1:89" ht="12.75">
      <c r="A12" s="15">
        <v>1418</v>
      </c>
      <c r="B12" s="14" t="s">
        <v>952</v>
      </c>
      <c r="C12" s="14" t="s">
        <v>558</v>
      </c>
      <c r="D12" s="14" t="s">
        <v>254</v>
      </c>
      <c r="E12" s="14" t="s">
        <v>286</v>
      </c>
      <c r="F12" s="2" t="s">
        <v>51</v>
      </c>
      <c r="G12" s="2">
        <v>1</v>
      </c>
      <c r="H12" s="2" t="s">
        <v>428</v>
      </c>
      <c r="I12" s="2" t="s">
        <v>783</v>
      </c>
      <c r="J12" s="14" t="s">
        <v>326</v>
      </c>
      <c r="K12" s="2" t="s">
        <v>465</v>
      </c>
      <c r="L12" s="14" t="s">
        <v>408</v>
      </c>
      <c r="M12" s="14" t="s">
        <v>944</v>
      </c>
      <c r="N12" s="2" t="s">
        <v>567</v>
      </c>
      <c r="O12" s="10">
        <v>1</v>
      </c>
      <c r="U12" s="45">
        <f t="shared" si="0"/>
        <v>66</v>
      </c>
      <c r="V12" s="45">
        <f t="shared" si="1"/>
        <v>66</v>
      </c>
      <c r="X12" s="6">
        <f>5+10/20</f>
        <v>5.5</v>
      </c>
      <c r="AC12">
        <v>5</v>
      </c>
      <c r="AD12">
        <v>10</v>
      </c>
      <c r="AE12">
        <v>0</v>
      </c>
      <c r="AF12" s="23">
        <f>AC12+AD12/20+AE12/240</f>
        <v>5.5</v>
      </c>
      <c r="AJ12" s="23">
        <f t="shared" si="2"/>
        <v>5.5</v>
      </c>
      <c r="AK12" s="23"/>
      <c r="AU12" s="23"/>
      <c r="AW12" s="7"/>
      <c r="AX12" s="23">
        <v>5.5</v>
      </c>
      <c r="AY12" s="23"/>
      <c r="BD12" s="7"/>
      <c r="BE12" s="19"/>
      <c r="BF12" s="19"/>
      <c r="BG12" s="23"/>
      <c r="BP12" s="34"/>
      <c r="BS12" s="21"/>
      <c r="BW12" s="20">
        <f t="shared" si="3"/>
        <v>66</v>
      </c>
      <c r="BX12" s="20">
        <f t="shared" si="4"/>
        <v>66</v>
      </c>
      <c r="CJ12">
        <f t="shared" si="5"/>
        <v>1418</v>
      </c>
      <c r="CK12" s="2" t="s">
        <v>465</v>
      </c>
    </row>
    <row r="13" spans="1:89" ht="12.75">
      <c r="A13" s="15">
        <v>1418</v>
      </c>
      <c r="B13" s="14" t="s">
        <v>952</v>
      </c>
      <c r="C13" s="14" t="s">
        <v>558</v>
      </c>
      <c r="D13" s="14" t="s">
        <v>254</v>
      </c>
      <c r="E13" s="14" t="s">
        <v>286</v>
      </c>
      <c r="F13" s="2" t="s">
        <v>52</v>
      </c>
      <c r="G13" s="2">
        <v>1</v>
      </c>
      <c r="H13" s="2" t="s">
        <v>428</v>
      </c>
      <c r="I13" s="2" t="s">
        <v>1558</v>
      </c>
      <c r="J13" s="14" t="s">
        <v>326</v>
      </c>
      <c r="K13" s="2" t="s">
        <v>446</v>
      </c>
      <c r="L13" s="14" t="s">
        <v>410</v>
      </c>
      <c r="M13" s="14" t="s">
        <v>753</v>
      </c>
      <c r="N13" s="2" t="s">
        <v>1310</v>
      </c>
      <c r="O13" s="10">
        <v>2</v>
      </c>
      <c r="U13" s="45">
        <f t="shared" si="0"/>
        <v>103.19999999999999</v>
      </c>
      <c r="V13" s="45">
        <f t="shared" si="1"/>
        <v>51.599999999999994</v>
      </c>
      <c r="X13" s="6">
        <f>4+6/20</f>
        <v>4.3</v>
      </c>
      <c r="AB13" s="45"/>
      <c r="AF13" s="23">
        <f>O13*X13</f>
        <v>8.6</v>
      </c>
      <c r="AJ13" s="23">
        <f t="shared" si="2"/>
        <v>4.3</v>
      </c>
      <c r="AK13" s="23"/>
      <c r="AX13" s="23"/>
      <c r="BB13" s="23">
        <v>4.3</v>
      </c>
      <c r="BS13" s="21"/>
      <c r="BW13" s="20">
        <f t="shared" si="3"/>
        <v>103.19999999999999</v>
      </c>
      <c r="BX13" s="20">
        <f t="shared" si="4"/>
        <v>51.599999999999994</v>
      </c>
      <c r="CJ13">
        <f t="shared" si="5"/>
        <v>1418</v>
      </c>
      <c r="CK13" s="2" t="s">
        <v>446</v>
      </c>
    </row>
    <row r="14" spans="1:89" ht="12.75">
      <c r="A14" s="15">
        <v>1418</v>
      </c>
      <c r="B14" s="14" t="s">
        <v>952</v>
      </c>
      <c r="C14" s="14" t="s">
        <v>558</v>
      </c>
      <c r="D14" s="14" t="s">
        <v>254</v>
      </c>
      <c r="E14" s="14" t="s">
        <v>286</v>
      </c>
      <c r="F14" s="2" t="s">
        <v>53</v>
      </c>
      <c r="G14" s="2">
        <v>1</v>
      </c>
      <c r="H14" s="2" t="s">
        <v>428</v>
      </c>
      <c r="I14" s="2" t="s">
        <v>1558</v>
      </c>
      <c r="J14" s="14" t="s">
        <v>326</v>
      </c>
      <c r="K14" s="2" t="s">
        <v>446</v>
      </c>
      <c r="L14" s="14" t="s">
        <v>410</v>
      </c>
      <c r="M14" s="14" t="s">
        <v>753</v>
      </c>
      <c r="N14" s="2" t="s">
        <v>636</v>
      </c>
      <c r="O14" s="10">
        <v>1</v>
      </c>
      <c r="U14" s="45">
        <f t="shared" si="0"/>
        <v>50.400000000000006</v>
      </c>
      <c r="V14" s="45">
        <f t="shared" si="1"/>
        <v>50.400000000000006</v>
      </c>
      <c r="X14" s="6">
        <f>4+4/20</f>
        <v>4.2</v>
      </c>
      <c r="AC14">
        <v>4</v>
      </c>
      <c r="AD14">
        <v>4</v>
      </c>
      <c r="AE14">
        <v>0</v>
      </c>
      <c r="AF14" s="23">
        <f>AC14+AD14/20+AE14/240</f>
        <v>4.2</v>
      </c>
      <c r="AJ14" s="23">
        <f t="shared" si="2"/>
        <v>4.2</v>
      </c>
      <c r="AK14" s="23"/>
      <c r="AX14" s="23">
        <v>4.2</v>
      </c>
      <c r="AY14" s="19"/>
      <c r="AZ14" s="19"/>
      <c r="BB14" s="23"/>
      <c r="BG14" s="23"/>
      <c r="BP14" s="34"/>
      <c r="BS14" s="21"/>
      <c r="BW14" s="20">
        <f t="shared" si="3"/>
        <v>50.400000000000006</v>
      </c>
      <c r="BX14" s="20">
        <f t="shared" si="4"/>
        <v>50.400000000000006</v>
      </c>
      <c r="CJ14">
        <f t="shared" si="5"/>
        <v>1418</v>
      </c>
      <c r="CK14" s="2" t="s">
        <v>446</v>
      </c>
    </row>
    <row r="15" spans="1:89" ht="12.75">
      <c r="A15" s="15">
        <v>1418</v>
      </c>
      <c r="B15" s="14" t="s">
        <v>952</v>
      </c>
      <c r="C15" s="14" t="s">
        <v>558</v>
      </c>
      <c r="D15" s="14" t="s">
        <v>254</v>
      </c>
      <c r="E15" s="14" t="s">
        <v>286</v>
      </c>
      <c r="F15" s="2" t="s">
        <v>54</v>
      </c>
      <c r="G15" s="2">
        <v>1</v>
      </c>
      <c r="H15" s="2" t="s">
        <v>428</v>
      </c>
      <c r="I15" s="2" t="s">
        <v>836</v>
      </c>
      <c r="J15" s="14" t="s">
        <v>326</v>
      </c>
      <c r="K15" s="2" t="s">
        <v>473</v>
      </c>
      <c r="L15" s="14" t="s">
        <v>410</v>
      </c>
      <c r="M15" s="14" t="s">
        <v>745</v>
      </c>
      <c r="N15" s="2" t="s">
        <v>1478</v>
      </c>
      <c r="O15" s="10">
        <v>1</v>
      </c>
      <c r="U15" s="45">
        <f t="shared" si="0"/>
        <v>51</v>
      </c>
      <c r="V15" s="45">
        <f t="shared" si="1"/>
        <v>51</v>
      </c>
      <c r="X15" s="6">
        <f>4+5/20</f>
        <v>4.25</v>
      </c>
      <c r="AC15">
        <v>4</v>
      </c>
      <c r="AD15">
        <v>5</v>
      </c>
      <c r="AE15">
        <v>0</v>
      </c>
      <c r="AF15" s="23">
        <f>AC15+AD15/20+AE15/240</f>
        <v>4.25</v>
      </c>
      <c r="AJ15" s="23">
        <f t="shared" si="2"/>
        <v>4.25</v>
      </c>
      <c r="AK15" s="23"/>
      <c r="AX15" s="7"/>
      <c r="AY15" s="19"/>
      <c r="AZ15" s="19"/>
      <c r="BE15" s="23"/>
      <c r="BG15" s="23">
        <v>4.25</v>
      </c>
      <c r="BP15" s="34"/>
      <c r="BS15" s="21"/>
      <c r="BW15" s="20">
        <f t="shared" si="3"/>
        <v>51</v>
      </c>
      <c r="BX15" s="20">
        <f t="shared" si="4"/>
        <v>51</v>
      </c>
      <c r="CJ15">
        <f t="shared" si="5"/>
        <v>1418</v>
      </c>
      <c r="CK15" s="2" t="s">
        <v>473</v>
      </c>
    </row>
    <row r="16" spans="1:89" ht="12.75">
      <c r="A16" s="15">
        <v>1418</v>
      </c>
      <c r="B16" s="14" t="s">
        <v>952</v>
      </c>
      <c r="C16" s="14" t="s">
        <v>558</v>
      </c>
      <c r="D16" s="14" t="s">
        <v>254</v>
      </c>
      <c r="E16" s="14" t="s">
        <v>286</v>
      </c>
      <c r="F16" s="2" t="s">
        <v>55</v>
      </c>
      <c r="G16" s="2">
        <v>1</v>
      </c>
      <c r="H16" s="2" t="s">
        <v>1254</v>
      </c>
      <c r="I16" s="2" t="s">
        <v>826</v>
      </c>
      <c r="J16" s="14" t="s">
        <v>326</v>
      </c>
      <c r="K16" s="2" t="s">
        <v>1260</v>
      </c>
      <c r="L16" s="14" t="s">
        <v>1226</v>
      </c>
      <c r="M16" s="14" t="s">
        <v>745</v>
      </c>
      <c r="N16" s="2" t="s">
        <v>1478</v>
      </c>
      <c r="O16" s="10">
        <v>1</v>
      </c>
      <c r="P16" s="5"/>
      <c r="U16" s="45">
        <f t="shared" si="0"/>
        <v>32.400000000000006</v>
      </c>
      <c r="V16" s="45">
        <f t="shared" si="1"/>
        <v>32.400000000000006</v>
      </c>
      <c r="X16" s="6">
        <f>2+14/20</f>
        <v>2.7</v>
      </c>
      <c r="AC16">
        <v>2</v>
      </c>
      <c r="AD16">
        <v>14</v>
      </c>
      <c r="AE16">
        <v>0</v>
      </c>
      <c r="AF16" s="23">
        <f>AC16+AD16/20+AE16/240</f>
        <v>2.7</v>
      </c>
      <c r="AJ16" s="23">
        <f t="shared" si="2"/>
        <v>2.7</v>
      </c>
      <c r="AK16" s="23"/>
      <c r="BB16" s="7"/>
      <c r="BG16" s="23">
        <v>2.7</v>
      </c>
      <c r="BP16" s="34"/>
      <c r="BS16" s="21"/>
      <c r="BW16" s="20">
        <f t="shared" si="3"/>
        <v>32.400000000000006</v>
      </c>
      <c r="BX16" s="20">
        <f t="shared" si="4"/>
        <v>32.400000000000006</v>
      </c>
      <c r="CJ16">
        <f t="shared" si="5"/>
        <v>1418</v>
      </c>
      <c r="CK16" s="2" t="s">
        <v>1260</v>
      </c>
    </row>
    <row r="17" spans="1:89" ht="12.75">
      <c r="A17" s="15"/>
      <c r="E17" s="14"/>
      <c r="F17" s="2"/>
      <c r="G17" s="2"/>
      <c r="K17" s="2"/>
      <c r="X17" s="6"/>
      <c r="AK17" s="23"/>
      <c r="BB17" s="7"/>
      <c r="BP17" s="34"/>
      <c r="BS17" s="21"/>
      <c r="CK17" s="2"/>
    </row>
    <row r="18" spans="1:90" ht="12.75">
      <c r="A18" s="15">
        <v>1418</v>
      </c>
      <c r="B18" s="14" t="s">
        <v>952</v>
      </c>
      <c r="C18" s="14" t="s">
        <v>558</v>
      </c>
      <c r="D18" s="14" t="s">
        <v>254</v>
      </c>
      <c r="E18" s="14" t="s">
        <v>286</v>
      </c>
      <c r="F18" s="2" t="s">
        <v>56</v>
      </c>
      <c r="G18" s="2">
        <v>2</v>
      </c>
      <c r="H18" s="2" t="s">
        <v>591</v>
      </c>
      <c r="I18" s="2" t="s">
        <v>392</v>
      </c>
      <c r="J18" s="14" t="s">
        <v>326</v>
      </c>
      <c r="K18" s="2" t="s">
        <v>595</v>
      </c>
      <c r="L18" s="14" t="s">
        <v>584</v>
      </c>
      <c r="M18" s="14" t="s">
        <v>334</v>
      </c>
      <c r="N18" s="2" t="s">
        <v>762</v>
      </c>
      <c r="O18" s="10">
        <v>4</v>
      </c>
      <c r="U18" s="45">
        <f>O18*V18</f>
        <v>79.19999999999999</v>
      </c>
      <c r="V18" s="45">
        <f>12*X18</f>
        <v>19.799999999999997</v>
      </c>
      <c r="X18" s="6">
        <f>1+13/20</f>
        <v>1.65</v>
      </c>
      <c r="AB18" s="45"/>
      <c r="AF18" s="23">
        <f>O18*X18</f>
        <v>6.6</v>
      </c>
      <c r="AG18">
        <v>1</v>
      </c>
      <c r="AH18">
        <v>13</v>
      </c>
      <c r="AI18">
        <v>0</v>
      </c>
      <c r="AJ18" s="23">
        <f>X18*1</f>
        <v>1.65</v>
      </c>
      <c r="AK18" s="23"/>
      <c r="AU18" s="23"/>
      <c r="BE18" s="23"/>
      <c r="BG18" s="23">
        <v>1.65</v>
      </c>
      <c r="BP18" s="34"/>
      <c r="BS18" s="21"/>
      <c r="BW18" s="20">
        <f>U18+(BO18*12*O18)+BT18</f>
        <v>79.19999999999999</v>
      </c>
      <c r="BX18" s="20">
        <f>BW18/O18</f>
        <v>19.799999999999997</v>
      </c>
      <c r="CJ18">
        <f>A18*1</f>
        <v>1418</v>
      </c>
      <c r="CK18" s="2" t="s">
        <v>595</v>
      </c>
      <c r="CL18" t="s">
        <v>20</v>
      </c>
    </row>
    <row r="19" spans="1:90" ht="12.75">
      <c r="A19" s="15">
        <v>1418</v>
      </c>
      <c r="B19" s="14" t="s">
        <v>952</v>
      </c>
      <c r="C19" s="14" t="s">
        <v>558</v>
      </c>
      <c r="D19" s="14" t="s">
        <v>254</v>
      </c>
      <c r="E19" s="14" t="s">
        <v>286</v>
      </c>
      <c r="F19" s="2" t="s">
        <v>57</v>
      </c>
      <c r="G19" s="2">
        <v>2</v>
      </c>
      <c r="H19" s="2" t="s">
        <v>591</v>
      </c>
      <c r="I19" s="2" t="s">
        <v>828</v>
      </c>
      <c r="J19" s="14" t="s">
        <v>326</v>
      </c>
      <c r="K19" s="2" t="s">
        <v>600</v>
      </c>
      <c r="L19" s="14" t="s">
        <v>585</v>
      </c>
      <c r="M19" s="14" t="s">
        <v>745</v>
      </c>
      <c r="N19" s="2" t="s">
        <v>248</v>
      </c>
      <c r="O19" s="10">
        <v>1</v>
      </c>
      <c r="U19" s="45">
        <f>O19*V19</f>
        <v>19.799999999999997</v>
      </c>
      <c r="V19" s="45">
        <f>12*X19</f>
        <v>19.799999999999997</v>
      </c>
      <c r="X19" s="6">
        <f>1+13/20</f>
        <v>1.65</v>
      </c>
      <c r="AC19">
        <v>1</v>
      </c>
      <c r="AD19">
        <v>13</v>
      </c>
      <c r="AE19">
        <v>0</v>
      </c>
      <c r="AF19" s="23">
        <f>AC19+AD19/20+AE19/240</f>
        <v>1.65</v>
      </c>
      <c r="AG19">
        <v>1</v>
      </c>
      <c r="AH19">
        <v>13</v>
      </c>
      <c r="AI19">
        <v>0</v>
      </c>
      <c r="AJ19" s="23">
        <f>X19*1</f>
        <v>1.65</v>
      </c>
      <c r="AX19" s="23"/>
      <c r="BG19" s="23">
        <v>1.65</v>
      </c>
      <c r="BP19" s="34"/>
      <c r="BS19" s="21"/>
      <c r="BW19" s="20">
        <f>U19+(BO19*12*O19)+BT19</f>
        <v>19.799999999999997</v>
      </c>
      <c r="BX19" s="20">
        <f>BW19/O19</f>
        <v>19.799999999999997</v>
      </c>
      <c r="CJ19">
        <f>A19*1</f>
        <v>1418</v>
      </c>
      <c r="CK19" s="2" t="s">
        <v>600</v>
      </c>
      <c r="CL19" t="s">
        <v>20</v>
      </c>
    </row>
    <row r="20" spans="1:90" ht="12.75">
      <c r="A20" s="15">
        <v>1418</v>
      </c>
      <c r="B20" s="14" t="s">
        <v>952</v>
      </c>
      <c r="C20" s="14" t="s">
        <v>558</v>
      </c>
      <c r="D20" s="14" t="s">
        <v>254</v>
      </c>
      <c r="E20" s="14" t="s">
        <v>286</v>
      </c>
      <c r="F20" s="2" t="s">
        <v>58</v>
      </c>
      <c r="G20" s="2">
        <v>2</v>
      </c>
      <c r="H20" s="2" t="s">
        <v>591</v>
      </c>
      <c r="I20" s="2" t="s">
        <v>380</v>
      </c>
      <c r="J20" s="14" t="s">
        <v>326</v>
      </c>
      <c r="K20" s="2" t="s">
        <v>595</v>
      </c>
      <c r="L20" s="14" t="s">
        <v>584</v>
      </c>
      <c r="M20" s="14" t="s">
        <v>334</v>
      </c>
      <c r="N20" s="2" t="s">
        <v>15</v>
      </c>
      <c r="O20" s="10">
        <v>1</v>
      </c>
      <c r="U20" s="45">
        <f>O20*V20</f>
        <v>18.15</v>
      </c>
      <c r="V20" s="45">
        <f>12*X20</f>
        <v>18.15</v>
      </c>
      <c r="X20" s="6">
        <f>1+10/20+3/240</f>
        <v>1.5125</v>
      </c>
      <c r="AC20">
        <v>1</v>
      </c>
      <c r="AD20">
        <v>10</v>
      </c>
      <c r="AE20">
        <v>3</v>
      </c>
      <c r="AF20" s="23">
        <f>AC20+AD20/20+AE20/240</f>
        <v>1.5125</v>
      </c>
      <c r="AG20">
        <v>1</v>
      </c>
      <c r="AH20">
        <v>10</v>
      </c>
      <c r="AI20">
        <v>3</v>
      </c>
      <c r="AJ20" s="23">
        <f>X20*1</f>
        <v>1.5125</v>
      </c>
      <c r="BG20" s="23">
        <v>1.5125</v>
      </c>
      <c r="BP20" s="34"/>
      <c r="BS20" s="21"/>
      <c r="BW20" s="20">
        <f>U20+(BO20*12*O20)+BT20</f>
        <v>18.15</v>
      </c>
      <c r="BX20" s="20">
        <f>BW20/O20</f>
        <v>18.15</v>
      </c>
      <c r="CJ20">
        <f>A20*1</f>
        <v>1418</v>
      </c>
      <c r="CK20" s="2" t="s">
        <v>595</v>
      </c>
      <c r="CL20" t="s">
        <v>19</v>
      </c>
    </row>
    <row r="21" spans="1:90" ht="12.75">
      <c r="A21" s="15">
        <v>1418</v>
      </c>
      <c r="B21" s="14" t="s">
        <v>952</v>
      </c>
      <c r="C21" s="14" t="s">
        <v>558</v>
      </c>
      <c r="D21" s="14" t="s">
        <v>254</v>
      </c>
      <c r="E21" s="14" t="s">
        <v>286</v>
      </c>
      <c r="F21" s="2" t="s">
        <v>59</v>
      </c>
      <c r="G21" s="2">
        <v>2</v>
      </c>
      <c r="H21" s="2" t="s">
        <v>428</v>
      </c>
      <c r="I21" s="2" t="s">
        <v>834</v>
      </c>
      <c r="J21" s="14" t="s">
        <v>326</v>
      </c>
      <c r="K21" s="2" t="s">
        <v>472</v>
      </c>
      <c r="L21" s="14" t="s">
        <v>410</v>
      </c>
      <c r="M21" s="14" t="s">
        <v>747</v>
      </c>
      <c r="N21" s="2" t="s">
        <v>1301</v>
      </c>
      <c r="O21" s="10">
        <v>50</v>
      </c>
      <c r="U21" s="45">
        <f>O21*V21</f>
        <v>2400</v>
      </c>
      <c r="V21" s="45">
        <f>12*X21</f>
        <v>48</v>
      </c>
      <c r="X21" s="6">
        <v>4</v>
      </c>
      <c r="AC21">
        <v>200</v>
      </c>
      <c r="AD21">
        <v>0</v>
      </c>
      <c r="AE21">
        <v>0</v>
      </c>
      <c r="AF21" s="23">
        <f>AC21+AD21/20+AE21/240</f>
        <v>200</v>
      </c>
      <c r="AG21">
        <v>4</v>
      </c>
      <c r="AH21">
        <v>0</v>
      </c>
      <c r="AI21">
        <v>0</v>
      </c>
      <c r="AJ21" s="23">
        <f>X21*1</f>
        <v>4</v>
      </c>
      <c r="AU21" s="23"/>
      <c r="AY21" s="23"/>
      <c r="BC21" s="23">
        <v>4</v>
      </c>
      <c r="BG21" s="23"/>
      <c r="BP21" s="34"/>
      <c r="BS21" s="21"/>
      <c r="BW21" s="20">
        <f>U21+(BO21*12*O21)+BT21</f>
        <v>2400</v>
      </c>
      <c r="BX21" s="20">
        <f>BW21/O21</f>
        <v>48</v>
      </c>
      <c r="CJ21">
        <f>A21*1</f>
        <v>1418</v>
      </c>
      <c r="CK21" s="2" t="s">
        <v>472</v>
      </c>
      <c r="CL21" t="s">
        <v>1015</v>
      </c>
    </row>
    <row r="22" spans="1:89" ht="12.75">
      <c r="A22" s="15"/>
      <c r="E22" s="14"/>
      <c r="F22" s="2"/>
      <c r="G22" s="2"/>
      <c r="K22" s="2"/>
      <c r="X22" s="6"/>
      <c r="AJ22" s="23"/>
      <c r="AX22" s="23"/>
      <c r="BG22" s="23"/>
      <c r="BP22" s="34"/>
      <c r="BS22" s="21"/>
      <c r="CK22" s="2"/>
    </row>
    <row r="23" spans="1:90" ht="12.75">
      <c r="A23" s="15">
        <v>1417</v>
      </c>
      <c r="B23" s="14" t="s">
        <v>1076</v>
      </c>
      <c r="C23" s="14" t="s">
        <v>1267</v>
      </c>
      <c r="D23" s="14" t="s">
        <v>46</v>
      </c>
      <c r="E23" s="14" t="s">
        <v>285</v>
      </c>
      <c r="F23" s="2" t="s">
        <v>60</v>
      </c>
      <c r="G23" s="2"/>
      <c r="H23" t="s">
        <v>1254</v>
      </c>
      <c r="I23" t="s">
        <v>402</v>
      </c>
      <c r="J23" s="14" t="s">
        <v>326</v>
      </c>
      <c r="K23" s="2" t="s">
        <v>1256</v>
      </c>
      <c r="L23" s="14" t="s">
        <v>1226</v>
      </c>
      <c r="M23" s="14" t="s">
        <v>327</v>
      </c>
      <c r="N23" s="2" t="s">
        <v>1293</v>
      </c>
      <c r="O23" s="10">
        <v>2</v>
      </c>
      <c r="P23" s="10">
        <v>22.5</v>
      </c>
      <c r="U23" s="45">
        <f>O23*V23+(12*(1+12/20+6/240))</f>
        <v>79.5</v>
      </c>
      <c r="V23" s="45">
        <f>12*X23</f>
        <v>30</v>
      </c>
      <c r="W23" s="23">
        <f>((12*(1+12/20+6/240))*20)/P23</f>
        <v>17.333333333333332</v>
      </c>
      <c r="X23" s="6">
        <f>2+10/20</f>
        <v>2.5</v>
      </c>
      <c r="AB23" s="45"/>
      <c r="AC23">
        <v>6</v>
      </c>
      <c r="AD23">
        <v>12</v>
      </c>
      <c r="AE23">
        <v>6</v>
      </c>
      <c r="AF23" s="23">
        <f>AC23+AD23/20+AE23/240</f>
        <v>6.625</v>
      </c>
      <c r="AG23">
        <v>2</v>
      </c>
      <c r="AH23">
        <v>10</v>
      </c>
      <c r="AI23">
        <v>0</v>
      </c>
      <c r="AJ23" s="23">
        <f>X23*1</f>
        <v>2.5</v>
      </c>
      <c r="AK23" s="23">
        <f>W23/12</f>
        <v>1.4444444444444444</v>
      </c>
      <c r="BD23" s="23">
        <v>2.5</v>
      </c>
      <c r="BG23" s="23"/>
      <c r="BS23" s="21"/>
      <c r="BW23" s="20">
        <f>U23+(BO23*12*O23)+BT23</f>
        <v>79.5</v>
      </c>
      <c r="BX23" s="20">
        <f>V23*1</f>
        <v>30</v>
      </c>
      <c r="CJ23">
        <f>A23*1</f>
        <v>1417</v>
      </c>
      <c r="CK23" s="2" t="s">
        <v>1256</v>
      </c>
      <c r="CL23" t="s">
        <v>34</v>
      </c>
    </row>
    <row r="24" spans="1:90" ht="12.75">
      <c r="A24" s="15">
        <v>1417</v>
      </c>
      <c r="B24" s="14" t="s">
        <v>1076</v>
      </c>
      <c r="C24" s="14" t="s">
        <v>1267</v>
      </c>
      <c r="D24" s="14" t="s">
        <v>46</v>
      </c>
      <c r="E24" s="14" t="s">
        <v>285</v>
      </c>
      <c r="F24" s="2" t="s">
        <v>61</v>
      </c>
      <c r="G24" s="2"/>
      <c r="H24" t="s">
        <v>428</v>
      </c>
      <c r="I24" t="s">
        <v>838</v>
      </c>
      <c r="J24" s="14" t="s">
        <v>326</v>
      </c>
      <c r="K24" s="2" t="s">
        <v>474</v>
      </c>
      <c r="L24" s="14" t="s">
        <v>410</v>
      </c>
      <c r="M24" s="14" t="s">
        <v>745</v>
      </c>
      <c r="N24" s="2" t="s">
        <v>1293</v>
      </c>
      <c r="O24" s="10">
        <v>2</v>
      </c>
      <c r="P24" s="10">
        <v>22.5</v>
      </c>
      <c r="U24" s="45">
        <f>O24*V24+(12*(2+13/20+2/240))</f>
        <v>133.9</v>
      </c>
      <c r="V24" s="45">
        <f>12*X24</f>
        <v>51</v>
      </c>
      <c r="W24" s="23">
        <f>((12*(2+13/20+2/240))*20)/P24</f>
        <v>28.355555555555554</v>
      </c>
      <c r="X24" s="6">
        <f>4+5/20</f>
        <v>4.25</v>
      </c>
      <c r="AC24">
        <v>10</v>
      </c>
      <c r="AD24">
        <v>23</v>
      </c>
      <c r="AE24">
        <v>2</v>
      </c>
      <c r="AF24" s="23">
        <f>AC24+AD24/20+AE24/240</f>
        <v>11.158333333333333</v>
      </c>
      <c r="AG24">
        <v>4</v>
      </c>
      <c r="AH24">
        <v>5</v>
      </c>
      <c r="AI24">
        <v>0</v>
      </c>
      <c r="AJ24" s="23">
        <f>X24*1</f>
        <v>4.25</v>
      </c>
      <c r="AK24" s="23">
        <f>W24/12</f>
        <v>2.3629629629629627</v>
      </c>
      <c r="AX24" s="7"/>
      <c r="AY24" s="19"/>
      <c r="AZ24" s="19"/>
      <c r="BB24" s="23"/>
      <c r="BD24" s="23">
        <v>4.25</v>
      </c>
      <c r="BG24" s="23"/>
      <c r="BP24" s="34"/>
      <c r="BS24" s="21"/>
      <c r="BW24" s="20">
        <f>U24+(BO24*12*O24)+BT24</f>
        <v>133.9</v>
      </c>
      <c r="BX24" s="20">
        <f>V24*1</f>
        <v>51</v>
      </c>
      <c r="CJ24">
        <f>A24*1</f>
        <v>1417</v>
      </c>
      <c r="CK24" s="2" t="s">
        <v>474</v>
      </c>
      <c r="CL24" t="s">
        <v>36</v>
      </c>
    </row>
    <row r="25" spans="1:89" ht="12.75">
      <c r="A25" s="15"/>
      <c r="E25" s="14"/>
      <c r="F25" s="2"/>
      <c r="G25" s="2"/>
      <c r="K25" s="2"/>
      <c r="X25" s="6"/>
      <c r="AB25" s="45"/>
      <c r="AJ25" s="23"/>
      <c r="BC25" s="23"/>
      <c r="BG25" s="23"/>
      <c r="BS25" s="21"/>
      <c r="CK25" s="2"/>
    </row>
    <row r="26" spans="1:90" ht="12.75">
      <c r="A26" s="15">
        <v>1418</v>
      </c>
      <c r="B26" s="14" t="s">
        <v>1076</v>
      </c>
      <c r="C26" s="14" t="s">
        <v>558</v>
      </c>
      <c r="D26" s="14" t="s">
        <v>255</v>
      </c>
      <c r="E26" s="14" t="s">
        <v>281</v>
      </c>
      <c r="F26" s="2" t="s">
        <v>62</v>
      </c>
      <c r="G26" s="2">
        <v>1</v>
      </c>
      <c r="H26" t="s">
        <v>428</v>
      </c>
      <c r="I26" t="s">
        <v>697</v>
      </c>
      <c r="J26" s="14" t="s">
        <v>326</v>
      </c>
      <c r="K26" s="2" t="s">
        <v>451</v>
      </c>
      <c r="L26" s="14" t="s">
        <v>410</v>
      </c>
      <c r="M26" s="14" t="s">
        <v>347</v>
      </c>
      <c r="N26" s="2" t="s">
        <v>1494</v>
      </c>
      <c r="O26" s="10">
        <v>7</v>
      </c>
      <c r="U26" s="45">
        <f aca="true" t="shared" si="6" ref="U26:U34">O26*V26</f>
        <v>424.19999999999993</v>
      </c>
      <c r="V26" s="45">
        <f aca="true" t="shared" si="7" ref="V26:V34">12*X26</f>
        <v>60.599999999999994</v>
      </c>
      <c r="X26" s="6">
        <f>5+1/20</f>
        <v>5.05</v>
      </c>
      <c r="AF26" s="23">
        <f aca="true" t="shared" si="8" ref="AF26:AF31">O26*X26</f>
        <v>35.35</v>
      </c>
      <c r="AG26">
        <v>5</v>
      </c>
      <c r="AH26">
        <v>1</v>
      </c>
      <c r="AI26">
        <v>0</v>
      </c>
      <c r="AJ26" s="23">
        <f aca="true" t="shared" si="9" ref="AJ26:AJ34">X26*1</f>
        <v>5.05</v>
      </c>
      <c r="AX26" s="7"/>
      <c r="AY26" s="19"/>
      <c r="AZ26" s="19"/>
      <c r="BC26" s="23"/>
      <c r="BE26" s="23"/>
      <c r="BP26" s="34"/>
      <c r="BS26" s="21"/>
      <c r="BW26" s="20">
        <f aca="true" t="shared" si="10" ref="BW26:BW34">U26+(BO26*12*O26)+BT26</f>
        <v>424.19999999999993</v>
      </c>
      <c r="BX26" s="20">
        <f aca="true" t="shared" si="11" ref="BX26:BX34">BW26/O26</f>
        <v>60.59999999999999</v>
      </c>
      <c r="CJ26">
        <f aca="true" t="shared" si="12" ref="CJ26:CJ34">A26*1</f>
        <v>1418</v>
      </c>
      <c r="CK26" s="2" t="s">
        <v>451</v>
      </c>
      <c r="CL26" t="s">
        <v>1048</v>
      </c>
    </row>
    <row r="27" spans="1:89" ht="12.75">
      <c r="A27" s="15">
        <v>1418</v>
      </c>
      <c r="B27" s="14" t="s">
        <v>1076</v>
      </c>
      <c r="C27" s="14" t="s">
        <v>558</v>
      </c>
      <c r="D27" s="14" t="s">
        <v>255</v>
      </c>
      <c r="E27" s="14" t="s">
        <v>281</v>
      </c>
      <c r="F27" s="2" t="s">
        <v>63</v>
      </c>
      <c r="G27" s="2">
        <v>1</v>
      </c>
      <c r="H27" t="s">
        <v>428</v>
      </c>
      <c r="I27" t="s">
        <v>697</v>
      </c>
      <c r="J27" s="14" t="s">
        <v>326</v>
      </c>
      <c r="K27" s="2" t="s">
        <v>451</v>
      </c>
      <c r="L27" s="14" t="s">
        <v>410</v>
      </c>
      <c r="M27" s="14" t="s">
        <v>347</v>
      </c>
      <c r="N27" s="2" t="s">
        <v>1495</v>
      </c>
      <c r="O27" s="10">
        <v>4</v>
      </c>
      <c r="U27" s="45">
        <f t="shared" si="6"/>
        <v>246</v>
      </c>
      <c r="V27" s="45">
        <f t="shared" si="7"/>
        <v>61.5</v>
      </c>
      <c r="X27" s="6">
        <f>5+2/20+6/240</f>
        <v>5.125</v>
      </c>
      <c r="AB27" s="45"/>
      <c r="AF27" s="23">
        <f t="shared" si="8"/>
        <v>20.5</v>
      </c>
      <c r="AG27">
        <v>5</v>
      </c>
      <c r="AH27">
        <v>2</v>
      </c>
      <c r="AI27">
        <v>6</v>
      </c>
      <c r="AJ27" s="23">
        <f t="shared" si="9"/>
        <v>5.125</v>
      </c>
      <c r="AK27" s="23"/>
      <c r="AX27" s="23"/>
      <c r="BB27" s="7"/>
      <c r="BG27" s="23"/>
      <c r="BP27" s="34"/>
      <c r="BS27" s="21"/>
      <c r="BW27" s="20">
        <f t="shared" si="10"/>
        <v>246</v>
      </c>
      <c r="BX27" s="20">
        <f t="shared" si="11"/>
        <v>61.5</v>
      </c>
      <c r="CJ27">
        <f t="shared" si="12"/>
        <v>1418</v>
      </c>
      <c r="CK27" s="2" t="s">
        <v>451</v>
      </c>
    </row>
    <row r="28" spans="1:90" ht="12.75">
      <c r="A28" s="15">
        <v>1418</v>
      </c>
      <c r="B28" s="14" t="s">
        <v>1076</v>
      </c>
      <c r="C28" s="14" t="s">
        <v>558</v>
      </c>
      <c r="D28" s="14" t="s">
        <v>255</v>
      </c>
      <c r="E28" s="14" t="s">
        <v>281</v>
      </c>
      <c r="F28" s="2" t="s">
        <v>64</v>
      </c>
      <c r="G28" s="2">
        <v>1</v>
      </c>
      <c r="H28" t="s">
        <v>428</v>
      </c>
      <c r="I28" t="s">
        <v>709</v>
      </c>
      <c r="J28" s="14" t="s">
        <v>326</v>
      </c>
      <c r="K28" s="2" t="s">
        <v>462</v>
      </c>
      <c r="L28" s="14" t="s">
        <v>410</v>
      </c>
      <c r="M28" s="14" t="s">
        <v>755</v>
      </c>
      <c r="N28" s="2" t="s">
        <v>1497</v>
      </c>
      <c r="O28" s="10">
        <v>4</v>
      </c>
      <c r="U28" s="45">
        <f t="shared" si="6"/>
        <v>240</v>
      </c>
      <c r="V28" s="45">
        <f t="shared" si="7"/>
        <v>60</v>
      </c>
      <c r="X28" s="6">
        <v>5</v>
      </c>
      <c r="AB28" s="45"/>
      <c r="AF28" s="23">
        <f t="shared" si="8"/>
        <v>20</v>
      </c>
      <c r="AG28">
        <v>5</v>
      </c>
      <c r="AH28">
        <v>0</v>
      </c>
      <c r="AI28">
        <v>0</v>
      </c>
      <c r="AJ28" s="23">
        <f t="shared" si="9"/>
        <v>5</v>
      </c>
      <c r="AK28" s="23"/>
      <c r="AX28" s="23">
        <v>5</v>
      </c>
      <c r="BC28" s="23"/>
      <c r="BG28" s="23"/>
      <c r="BP28" s="34"/>
      <c r="BS28" s="21"/>
      <c r="BW28" s="20">
        <f t="shared" si="10"/>
        <v>240</v>
      </c>
      <c r="BX28" s="20">
        <f t="shared" si="11"/>
        <v>60</v>
      </c>
      <c r="CJ28">
        <f t="shared" si="12"/>
        <v>1418</v>
      </c>
      <c r="CK28" s="2" t="s">
        <v>462</v>
      </c>
      <c r="CL28" t="s">
        <v>1022</v>
      </c>
    </row>
    <row r="29" spans="1:90" ht="12.75">
      <c r="A29" s="15">
        <v>1418</v>
      </c>
      <c r="B29" s="14" t="s">
        <v>1076</v>
      </c>
      <c r="C29" s="14" t="s">
        <v>558</v>
      </c>
      <c r="D29" s="14" t="s">
        <v>255</v>
      </c>
      <c r="E29" s="14" t="s">
        <v>281</v>
      </c>
      <c r="F29" s="2" t="s">
        <v>65</v>
      </c>
      <c r="G29" s="2">
        <v>1</v>
      </c>
      <c r="H29" t="s">
        <v>428</v>
      </c>
      <c r="I29" t="s">
        <v>709</v>
      </c>
      <c r="J29" s="14" t="s">
        <v>326</v>
      </c>
      <c r="K29" s="2" t="s">
        <v>461</v>
      </c>
      <c r="L29" s="14" t="s">
        <v>410</v>
      </c>
      <c r="M29" s="14" t="s">
        <v>755</v>
      </c>
      <c r="N29" s="2" t="s">
        <v>1497</v>
      </c>
      <c r="O29" s="10">
        <v>7</v>
      </c>
      <c r="U29" s="45">
        <f t="shared" si="6"/>
        <v>411.6</v>
      </c>
      <c r="V29" s="45">
        <f t="shared" si="7"/>
        <v>58.800000000000004</v>
      </c>
      <c r="X29" s="6">
        <f>4+18/20</f>
        <v>4.9</v>
      </c>
      <c r="AB29" s="45"/>
      <c r="AF29" s="23">
        <f t="shared" si="8"/>
        <v>34.300000000000004</v>
      </c>
      <c r="AG29">
        <v>4</v>
      </c>
      <c r="AH29">
        <v>18</v>
      </c>
      <c r="AI29">
        <v>0</v>
      </c>
      <c r="AJ29" s="23">
        <f t="shared" si="9"/>
        <v>4.9</v>
      </c>
      <c r="AK29" s="23"/>
      <c r="AX29" s="23">
        <v>4.9</v>
      </c>
      <c r="BC29" s="23"/>
      <c r="BD29" s="23"/>
      <c r="BG29" s="23"/>
      <c r="BP29" s="34"/>
      <c r="BS29" s="21"/>
      <c r="BW29" s="20">
        <f t="shared" si="10"/>
        <v>411.6</v>
      </c>
      <c r="BX29" s="20">
        <f t="shared" si="11"/>
        <v>58.800000000000004</v>
      </c>
      <c r="CJ29">
        <f t="shared" si="12"/>
        <v>1418</v>
      </c>
      <c r="CK29" s="2" t="s">
        <v>461</v>
      </c>
      <c r="CL29" t="s">
        <v>1022</v>
      </c>
    </row>
    <row r="30" spans="1:90" ht="12.75">
      <c r="A30" s="15">
        <v>1418</v>
      </c>
      <c r="B30" s="14" t="s">
        <v>1076</v>
      </c>
      <c r="C30" s="14" t="s">
        <v>558</v>
      </c>
      <c r="D30" s="14" t="s">
        <v>255</v>
      </c>
      <c r="E30" s="14" t="s">
        <v>281</v>
      </c>
      <c r="F30" s="2" t="s">
        <v>66</v>
      </c>
      <c r="G30" s="2">
        <v>1</v>
      </c>
      <c r="H30" t="s">
        <v>428</v>
      </c>
      <c r="I30" t="s">
        <v>719</v>
      </c>
      <c r="J30" s="14" t="s">
        <v>326</v>
      </c>
      <c r="K30" s="2" t="s">
        <v>466</v>
      </c>
      <c r="L30" s="14" t="s">
        <v>410</v>
      </c>
      <c r="M30" s="14" t="s">
        <v>1177</v>
      </c>
      <c r="N30" s="2" t="s">
        <v>1499</v>
      </c>
      <c r="O30" s="10">
        <v>1</v>
      </c>
      <c r="U30" s="45">
        <f t="shared" si="6"/>
        <v>43.2</v>
      </c>
      <c r="V30" s="45">
        <f t="shared" si="7"/>
        <v>43.2</v>
      </c>
      <c r="X30" s="6">
        <f>3+12/20</f>
        <v>3.6</v>
      </c>
      <c r="AB30" s="45"/>
      <c r="AF30" s="23">
        <f t="shared" si="8"/>
        <v>3.6</v>
      </c>
      <c r="AG30">
        <v>3</v>
      </c>
      <c r="AH30">
        <v>12</v>
      </c>
      <c r="AI30">
        <v>0</v>
      </c>
      <c r="AJ30" s="23">
        <f t="shared" si="9"/>
        <v>3.6</v>
      </c>
      <c r="AK30" s="23"/>
      <c r="BG30" s="23"/>
      <c r="BP30" s="34"/>
      <c r="BS30" s="21"/>
      <c r="BW30" s="20">
        <f t="shared" si="10"/>
        <v>43.2</v>
      </c>
      <c r="BX30" s="20">
        <f t="shared" si="11"/>
        <v>43.2</v>
      </c>
      <c r="CJ30">
        <f t="shared" si="12"/>
        <v>1418</v>
      </c>
      <c r="CK30" s="2" t="s">
        <v>466</v>
      </c>
      <c r="CL30" t="s">
        <v>1022</v>
      </c>
    </row>
    <row r="31" spans="1:90" ht="12.75">
      <c r="A31" s="15">
        <v>1418</v>
      </c>
      <c r="B31" s="14" t="s">
        <v>1076</v>
      </c>
      <c r="C31" s="14" t="s">
        <v>558</v>
      </c>
      <c r="D31" s="14" t="s">
        <v>255</v>
      </c>
      <c r="E31" s="14" t="s">
        <v>281</v>
      </c>
      <c r="F31" s="2" t="s">
        <v>67</v>
      </c>
      <c r="G31" s="2">
        <v>1</v>
      </c>
      <c r="H31" t="s">
        <v>428</v>
      </c>
      <c r="I31" t="s">
        <v>719</v>
      </c>
      <c r="J31" s="14" t="s">
        <v>326</v>
      </c>
      <c r="K31" s="2" t="s">
        <v>466</v>
      </c>
      <c r="L31" s="14" t="s">
        <v>410</v>
      </c>
      <c r="M31" s="14" t="s">
        <v>1177</v>
      </c>
      <c r="N31" s="2" t="s">
        <v>1499</v>
      </c>
      <c r="O31" s="10">
        <v>10</v>
      </c>
      <c r="U31" s="45">
        <f t="shared" si="6"/>
        <v>420</v>
      </c>
      <c r="V31" s="45">
        <f t="shared" si="7"/>
        <v>42</v>
      </c>
      <c r="X31" s="6">
        <f>3+10/20</f>
        <v>3.5</v>
      </c>
      <c r="AB31" s="45"/>
      <c r="AF31" s="23">
        <f t="shared" si="8"/>
        <v>35</v>
      </c>
      <c r="AG31">
        <v>3</v>
      </c>
      <c r="AH31">
        <v>10</v>
      </c>
      <c r="AI31">
        <v>0</v>
      </c>
      <c r="AJ31" s="23">
        <f t="shared" si="9"/>
        <v>3.5</v>
      </c>
      <c r="AK31" s="23"/>
      <c r="BD31" s="23"/>
      <c r="BG31" s="7"/>
      <c r="BP31" s="34"/>
      <c r="BS31" s="21"/>
      <c r="BW31" s="20">
        <f t="shared" si="10"/>
        <v>420</v>
      </c>
      <c r="BX31" s="20">
        <f t="shared" si="11"/>
        <v>42</v>
      </c>
      <c r="CJ31">
        <f t="shared" si="12"/>
        <v>1418</v>
      </c>
      <c r="CK31" s="2" t="s">
        <v>466</v>
      </c>
      <c r="CL31" t="s">
        <v>1022</v>
      </c>
    </row>
    <row r="32" spans="1:89" ht="12.75">
      <c r="A32" s="15">
        <v>1418</v>
      </c>
      <c r="B32" s="14" t="s">
        <v>1076</v>
      </c>
      <c r="C32" s="14" t="s">
        <v>558</v>
      </c>
      <c r="D32" s="14" t="s">
        <v>255</v>
      </c>
      <c r="E32" s="14" t="s">
        <v>281</v>
      </c>
      <c r="F32" s="2" t="s">
        <v>68</v>
      </c>
      <c r="G32" s="2">
        <v>1</v>
      </c>
      <c r="H32" t="s">
        <v>428</v>
      </c>
      <c r="I32" t="s">
        <v>376</v>
      </c>
      <c r="J32" s="14" t="s">
        <v>326</v>
      </c>
      <c r="K32" s="2" t="s">
        <v>432</v>
      </c>
      <c r="L32" s="14" t="s">
        <v>410</v>
      </c>
      <c r="M32" s="14" t="s">
        <v>327</v>
      </c>
      <c r="N32" s="2" t="s">
        <v>570</v>
      </c>
      <c r="O32" s="10">
        <v>1</v>
      </c>
      <c r="U32" s="45">
        <f t="shared" si="6"/>
        <v>48</v>
      </c>
      <c r="V32" s="45">
        <f t="shared" si="7"/>
        <v>48</v>
      </c>
      <c r="X32" s="6">
        <v>4</v>
      </c>
      <c r="AC32">
        <v>4</v>
      </c>
      <c r="AD32">
        <v>0</v>
      </c>
      <c r="AE32">
        <v>0</v>
      </c>
      <c r="AF32" s="23">
        <f>AC32+AD32/20+AE32/240</f>
        <v>4</v>
      </c>
      <c r="AG32">
        <v>4</v>
      </c>
      <c r="AH32">
        <v>0</v>
      </c>
      <c r="AI32">
        <v>0</v>
      </c>
      <c r="AJ32" s="23">
        <f t="shared" si="9"/>
        <v>4</v>
      </c>
      <c r="AX32" s="23">
        <v>4</v>
      </c>
      <c r="BD32" s="23"/>
      <c r="BP32" s="34"/>
      <c r="BS32" s="21"/>
      <c r="BW32" s="20">
        <f t="shared" si="10"/>
        <v>48</v>
      </c>
      <c r="BX32" s="20">
        <f t="shared" si="11"/>
        <v>48</v>
      </c>
      <c r="CJ32">
        <f t="shared" si="12"/>
        <v>1418</v>
      </c>
      <c r="CK32" s="2" t="s">
        <v>432</v>
      </c>
    </row>
    <row r="33" spans="1:89" ht="12.75">
      <c r="A33" s="15">
        <v>1418</v>
      </c>
      <c r="B33" s="14" t="s">
        <v>1076</v>
      </c>
      <c r="C33" s="14" t="s">
        <v>558</v>
      </c>
      <c r="D33" s="14" t="s">
        <v>255</v>
      </c>
      <c r="E33" s="14" t="s">
        <v>281</v>
      </c>
      <c r="F33" s="2" t="s">
        <v>69</v>
      </c>
      <c r="G33" s="2">
        <v>1</v>
      </c>
      <c r="H33" t="s">
        <v>428</v>
      </c>
      <c r="I33" t="s">
        <v>7</v>
      </c>
      <c r="J33" s="14" t="s">
        <v>326</v>
      </c>
      <c r="K33" s="2" t="s">
        <v>431</v>
      </c>
      <c r="L33" s="14" t="s">
        <v>410</v>
      </c>
      <c r="M33" s="14" t="s">
        <v>362</v>
      </c>
      <c r="N33" s="2" t="s">
        <v>1311</v>
      </c>
      <c r="O33" s="10">
        <v>2</v>
      </c>
      <c r="U33" s="45">
        <f t="shared" si="6"/>
        <v>91.19999999999999</v>
      </c>
      <c r="V33" s="45">
        <f t="shared" si="7"/>
        <v>45.599999999999994</v>
      </c>
      <c r="X33" s="6">
        <f>3+16/20</f>
        <v>3.8</v>
      </c>
      <c r="AF33" s="23">
        <f>O33*X33</f>
        <v>7.6</v>
      </c>
      <c r="AG33">
        <v>3</v>
      </c>
      <c r="AH33">
        <v>16</v>
      </c>
      <c r="AI33">
        <v>0</v>
      </c>
      <c r="AJ33" s="23">
        <f t="shared" si="9"/>
        <v>3.8</v>
      </c>
      <c r="BB33" s="23">
        <v>3.8</v>
      </c>
      <c r="BG33" s="23"/>
      <c r="BS33" s="21"/>
      <c r="BW33" s="20">
        <f t="shared" si="10"/>
        <v>91.19999999999999</v>
      </c>
      <c r="BX33" s="20">
        <f t="shared" si="11"/>
        <v>45.599999999999994</v>
      </c>
      <c r="CJ33">
        <f t="shared" si="12"/>
        <v>1418</v>
      </c>
      <c r="CK33" s="2" t="s">
        <v>431</v>
      </c>
    </row>
    <row r="34" spans="1:89" ht="12.75">
      <c r="A34" s="15">
        <v>1418</v>
      </c>
      <c r="B34" s="14" t="s">
        <v>1076</v>
      </c>
      <c r="C34" s="14" t="s">
        <v>558</v>
      </c>
      <c r="D34" s="14" t="s">
        <v>255</v>
      </c>
      <c r="E34" s="14" t="s">
        <v>281</v>
      </c>
      <c r="F34" s="2" t="s">
        <v>70</v>
      </c>
      <c r="G34" s="2">
        <v>1</v>
      </c>
      <c r="H34" t="s">
        <v>1254</v>
      </c>
      <c r="I34" t="s">
        <v>406</v>
      </c>
      <c r="J34" s="14" t="s">
        <v>326</v>
      </c>
      <c r="K34" s="2" t="s">
        <v>1255</v>
      </c>
      <c r="L34" s="14" t="s">
        <v>1226</v>
      </c>
      <c r="M34" s="14" t="s">
        <v>327</v>
      </c>
      <c r="N34" s="2" t="s">
        <v>1370</v>
      </c>
      <c r="O34" s="10">
        <v>1</v>
      </c>
      <c r="U34" s="45">
        <f t="shared" si="6"/>
        <v>30</v>
      </c>
      <c r="V34" s="45">
        <f t="shared" si="7"/>
        <v>30</v>
      </c>
      <c r="X34" s="6">
        <f>2+10/20</f>
        <v>2.5</v>
      </c>
      <c r="AC34">
        <v>2</v>
      </c>
      <c r="AD34">
        <v>10</v>
      </c>
      <c r="AE34">
        <v>0</v>
      </c>
      <c r="AF34" s="23">
        <f>AC34+AD34/20+AE34/240</f>
        <v>2.5</v>
      </c>
      <c r="AG34">
        <v>2</v>
      </c>
      <c r="AH34">
        <v>10</v>
      </c>
      <c r="AI34">
        <v>0</v>
      </c>
      <c r="AJ34" s="23">
        <f t="shared" si="9"/>
        <v>2.5</v>
      </c>
      <c r="AK34" s="23"/>
      <c r="BD34" s="23"/>
      <c r="BE34" s="23">
        <v>2.5</v>
      </c>
      <c r="BS34" s="21"/>
      <c r="BW34" s="20">
        <f t="shared" si="10"/>
        <v>30</v>
      </c>
      <c r="BX34" s="20">
        <f t="shared" si="11"/>
        <v>30</v>
      </c>
      <c r="CJ34">
        <f t="shared" si="12"/>
        <v>1418</v>
      </c>
      <c r="CK34" s="2" t="s">
        <v>1255</v>
      </c>
    </row>
    <row r="35" spans="1:89" ht="12.75">
      <c r="A35" s="15"/>
      <c r="E35" s="14"/>
      <c r="F35" s="2"/>
      <c r="G35" s="2"/>
      <c r="K35" s="2"/>
      <c r="U35" s="45"/>
      <c r="V35" s="45"/>
      <c r="X35" s="6"/>
      <c r="AF35" s="23"/>
      <c r="AJ35" s="23"/>
      <c r="AK35" s="23"/>
      <c r="AU35" s="7"/>
      <c r="AV35" s="7"/>
      <c r="BG35" s="23"/>
      <c r="BP35" s="34"/>
      <c r="BS35" s="21"/>
      <c r="BW35" s="20"/>
      <c r="BX35" s="20"/>
      <c r="CK35" s="2"/>
    </row>
    <row r="36" spans="1:89" ht="12.75">
      <c r="A36" s="15">
        <v>1418</v>
      </c>
      <c r="B36" s="14" t="s">
        <v>1076</v>
      </c>
      <c r="C36" s="14" t="s">
        <v>558</v>
      </c>
      <c r="D36" s="14" t="s">
        <v>255</v>
      </c>
      <c r="E36" s="14" t="s">
        <v>281</v>
      </c>
      <c r="F36" s="2" t="s">
        <v>71</v>
      </c>
      <c r="G36" s="2">
        <v>1</v>
      </c>
      <c r="H36" t="s">
        <v>991</v>
      </c>
      <c r="I36" t="s">
        <v>277</v>
      </c>
      <c r="J36" s="14" t="s">
        <v>326</v>
      </c>
      <c r="K36" s="2" t="s">
        <v>278</v>
      </c>
      <c r="L36" s="14" t="s">
        <v>999</v>
      </c>
      <c r="M36" s="14" t="s">
        <v>755</v>
      </c>
      <c r="N36" s="2" t="s">
        <v>1478</v>
      </c>
      <c r="O36" s="10">
        <v>2</v>
      </c>
      <c r="U36" s="45">
        <f>O36*V36</f>
        <v>81</v>
      </c>
      <c r="V36" s="45">
        <f>12*X36</f>
        <v>40.5</v>
      </c>
      <c r="W36" s="23">
        <f>(20*U36)/90</f>
        <v>18</v>
      </c>
      <c r="X36" s="6">
        <f>3+7/20+6/240</f>
        <v>3.375</v>
      </c>
      <c r="AB36" s="45"/>
      <c r="AC36">
        <v>6</v>
      </c>
      <c r="AD36">
        <v>15</v>
      </c>
      <c r="AE36">
        <v>0</v>
      </c>
      <c r="AF36" s="23">
        <f>AC36+AD36/20+AE36/240</f>
        <v>6.75</v>
      </c>
      <c r="AG36">
        <v>3</v>
      </c>
      <c r="AH36">
        <v>7</v>
      </c>
      <c r="AI36">
        <v>6</v>
      </c>
      <c r="AJ36" s="23">
        <f>X36*1</f>
        <v>3.375</v>
      </c>
      <c r="AK36" s="23">
        <f>W36/12</f>
        <v>1.5</v>
      </c>
      <c r="AV36" s="7"/>
      <c r="BG36" s="23">
        <v>3.375</v>
      </c>
      <c r="BP36" s="34"/>
      <c r="BS36" s="21"/>
      <c r="BW36" s="20">
        <f>U36+(BO36*12*O36)+BT36</f>
        <v>81</v>
      </c>
      <c r="BX36" s="20">
        <f>BW36/O36</f>
        <v>40.5</v>
      </c>
      <c r="CJ36">
        <f>A36*1</f>
        <v>1418</v>
      </c>
      <c r="CK36" s="2" t="s">
        <v>278</v>
      </c>
    </row>
    <row r="37" spans="1:89" ht="12.75">
      <c r="A37" s="15">
        <v>1418</v>
      </c>
      <c r="B37" s="14" t="s">
        <v>1076</v>
      </c>
      <c r="C37" s="14" t="s">
        <v>558</v>
      </c>
      <c r="D37" s="14" t="s">
        <v>255</v>
      </c>
      <c r="E37" s="14" t="s">
        <v>281</v>
      </c>
      <c r="F37" s="2" t="s">
        <v>72</v>
      </c>
      <c r="G37" s="2">
        <v>1</v>
      </c>
      <c r="H37" t="s">
        <v>591</v>
      </c>
      <c r="I37" t="s">
        <v>1239</v>
      </c>
      <c r="J37" s="14" t="s">
        <v>326</v>
      </c>
      <c r="K37" s="2" t="s">
        <v>603</v>
      </c>
      <c r="L37" s="14" t="s">
        <v>585</v>
      </c>
      <c r="M37" s="14" t="s">
        <v>1177</v>
      </c>
      <c r="N37" s="2" t="s">
        <v>762</v>
      </c>
      <c r="O37" s="10">
        <v>1</v>
      </c>
      <c r="U37" s="45">
        <f>O37*V37</f>
        <v>16.799999999999997</v>
      </c>
      <c r="V37" s="45">
        <f>12*X37</f>
        <v>16.799999999999997</v>
      </c>
      <c r="X37" s="6">
        <f>1+8/20</f>
        <v>1.4</v>
      </c>
      <c r="AB37" s="45"/>
      <c r="AC37">
        <v>1</v>
      </c>
      <c r="AD37">
        <v>8</v>
      </c>
      <c r="AE37">
        <v>0</v>
      </c>
      <c r="AF37" s="23">
        <f>AC37+AD37/20+AE37/240</f>
        <v>1.4</v>
      </c>
      <c r="AG37">
        <v>1</v>
      </c>
      <c r="AH37">
        <v>8</v>
      </c>
      <c r="AI37">
        <v>0</v>
      </c>
      <c r="AJ37" s="23">
        <f>X37*1</f>
        <v>1.4</v>
      </c>
      <c r="BG37" s="23">
        <v>1.4</v>
      </c>
      <c r="BP37" s="34"/>
      <c r="BS37" s="21"/>
      <c r="BW37" s="20">
        <f>U37+(BO37*12*O37)+BT37</f>
        <v>16.799999999999997</v>
      </c>
      <c r="BX37" s="20">
        <f>BW37/O37</f>
        <v>16.799999999999997</v>
      </c>
      <c r="CJ37">
        <f>A37*1</f>
        <v>1418</v>
      </c>
      <c r="CK37" s="2" t="s">
        <v>603</v>
      </c>
    </row>
    <row r="38" spans="1:89" ht="12.75">
      <c r="A38" s="15"/>
      <c r="E38" s="14"/>
      <c r="F38" s="2"/>
      <c r="G38" s="2"/>
      <c r="K38" s="2"/>
      <c r="X38" s="6"/>
      <c r="AB38" s="45"/>
      <c r="AF38" s="23"/>
      <c r="AJ38" s="23"/>
      <c r="AK38" s="23"/>
      <c r="AY38" s="23"/>
      <c r="BG38" s="23"/>
      <c r="BP38" s="34"/>
      <c r="BS38" s="21"/>
      <c r="CK38" s="2"/>
    </row>
    <row r="39" spans="1:90" ht="12.75">
      <c r="A39" s="15">
        <v>1419</v>
      </c>
      <c r="B39" s="14" t="s">
        <v>952</v>
      </c>
      <c r="C39" s="14" t="s">
        <v>558</v>
      </c>
      <c r="D39" s="14" t="s">
        <v>255</v>
      </c>
      <c r="E39" s="14" t="s">
        <v>284</v>
      </c>
      <c r="F39" s="2" t="s">
        <v>73</v>
      </c>
      <c r="G39" s="2">
        <v>1</v>
      </c>
      <c r="H39" s="2" t="s">
        <v>502</v>
      </c>
      <c r="I39" s="2" t="s">
        <v>503</v>
      </c>
      <c r="J39" s="14" t="s">
        <v>326</v>
      </c>
      <c r="K39" s="2" t="s">
        <v>506</v>
      </c>
      <c r="L39" s="14" t="s">
        <v>1281</v>
      </c>
      <c r="M39" s="14" t="s">
        <v>332</v>
      </c>
      <c r="N39" s="2" t="s">
        <v>534</v>
      </c>
      <c r="O39" s="10">
        <v>15</v>
      </c>
      <c r="U39" s="45">
        <f>O39*V39</f>
        <v>1215</v>
      </c>
      <c r="V39" s="45">
        <f>12*X39</f>
        <v>81</v>
      </c>
      <c r="X39" s="6">
        <f>6+15/20</f>
        <v>6.75</v>
      </c>
      <c r="AB39" s="45"/>
      <c r="AC39">
        <v>6</v>
      </c>
      <c r="AD39">
        <v>15</v>
      </c>
      <c r="AE39">
        <v>0</v>
      </c>
      <c r="AF39" s="23">
        <f>AC39+AD39/20+AE39/240</f>
        <v>6.75</v>
      </c>
      <c r="AG39">
        <v>6</v>
      </c>
      <c r="AH39">
        <v>15</v>
      </c>
      <c r="AI39">
        <v>0</v>
      </c>
      <c r="AJ39" s="23">
        <f>X39*1</f>
        <v>6.75</v>
      </c>
      <c r="AK39" s="23"/>
      <c r="AU39" s="23">
        <v>6.75</v>
      </c>
      <c r="AY39" s="23"/>
      <c r="BO39">
        <f>3+14/20+6/240</f>
        <v>3.725</v>
      </c>
      <c r="BP39">
        <f>X39+BO39</f>
        <v>10.475</v>
      </c>
      <c r="BS39" s="21">
        <f>BO39/BP39</f>
        <v>0.3556085918854415</v>
      </c>
      <c r="BW39" s="20">
        <f aca="true" t="shared" si="13" ref="BW39:BW54">U39+(BO39*12*O39)+BT39</f>
        <v>1885.5</v>
      </c>
      <c r="BX39" s="20">
        <f aca="true" t="shared" si="14" ref="BX39:BX54">BW39/O39</f>
        <v>125.7</v>
      </c>
      <c r="CJ39">
        <f>A39*1</f>
        <v>1419</v>
      </c>
      <c r="CK39" s="2" t="s">
        <v>506</v>
      </c>
      <c r="CL39" t="s">
        <v>17</v>
      </c>
    </row>
    <row r="40" spans="1:90" ht="12.75">
      <c r="A40" s="15">
        <v>1419</v>
      </c>
      <c r="B40" s="14" t="s">
        <v>952</v>
      </c>
      <c r="C40" s="14" t="s">
        <v>558</v>
      </c>
      <c r="D40" s="14" t="s">
        <v>255</v>
      </c>
      <c r="E40" s="14" t="s">
        <v>284</v>
      </c>
      <c r="F40" s="2" t="s">
        <v>74</v>
      </c>
      <c r="G40" s="2">
        <v>1</v>
      </c>
      <c r="H40" s="2" t="s">
        <v>428</v>
      </c>
      <c r="I40" s="2" t="s">
        <v>726</v>
      </c>
      <c r="J40" s="14" t="s">
        <v>326</v>
      </c>
      <c r="K40" s="2" t="s">
        <v>467</v>
      </c>
      <c r="L40" s="14" t="s">
        <v>410</v>
      </c>
      <c r="M40" s="14" t="s">
        <v>1465</v>
      </c>
      <c r="N40" s="2" t="s">
        <v>534</v>
      </c>
      <c r="O40" s="10">
        <v>11</v>
      </c>
      <c r="U40" s="45">
        <f>O40*V40</f>
        <v>891</v>
      </c>
      <c r="V40" s="45">
        <f>12*X40</f>
        <v>81</v>
      </c>
      <c r="W40" s="23">
        <f>(20*V40)/33</f>
        <v>49.09090909090909</v>
      </c>
      <c r="X40" s="6">
        <f>6+15/20</f>
        <v>6.75</v>
      </c>
      <c r="AB40" s="45"/>
      <c r="AC40">
        <v>6</v>
      </c>
      <c r="AD40">
        <v>15</v>
      </c>
      <c r="AE40">
        <v>0</v>
      </c>
      <c r="AF40" s="23">
        <f>AC40+AD40/20+AE40/240</f>
        <v>6.75</v>
      </c>
      <c r="AG40">
        <v>6</v>
      </c>
      <c r="AH40">
        <v>15</v>
      </c>
      <c r="AI40">
        <v>0</v>
      </c>
      <c r="AJ40" s="23">
        <f>X40*1</f>
        <v>6.75</v>
      </c>
      <c r="AK40" s="23">
        <f>W40/12</f>
        <v>4.090909090909091</v>
      </c>
      <c r="AX40" s="23"/>
      <c r="AY40" s="19"/>
      <c r="AZ40" s="23"/>
      <c r="BP40" s="34"/>
      <c r="BS40" s="21"/>
      <c r="BW40" s="20">
        <f t="shared" si="13"/>
        <v>891</v>
      </c>
      <c r="BX40" s="20">
        <f t="shared" si="14"/>
        <v>81</v>
      </c>
      <c r="CJ40">
        <f>A40*1</f>
        <v>1419</v>
      </c>
      <c r="CK40" s="2" t="s">
        <v>467</v>
      </c>
      <c r="CL40" t="s">
        <v>1003</v>
      </c>
    </row>
    <row r="41" spans="1:90" ht="12.75">
      <c r="A41" s="15">
        <v>1419</v>
      </c>
      <c r="B41" s="14" t="s">
        <v>952</v>
      </c>
      <c r="C41" s="14" t="s">
        <v>558</v>
      </c>
      <c r="D41" s="14" t="s">
        <v>255</v>
      </c>
      <c r="E41" s="14" t="s">
        <v>284</v>
      </c>
      <c r="F41" s="2" t="s">
        <v>75</v>
      </c>
      <c r="G41" s="2">
        <v>1</v>
      </c>
      <c r="H41" s="2" t="s">
        <v>502</v>
      </c>
      <c r="I41" s="2" t="s">
        <v>505</v>
      </c>
      <c r="J41" s="14" t="s">
        <v>326</v>
      </c>
      <c r="K41" s="2" t="s">
        <v>504</v>
      </c>
      <c r="L41" s="14" t="s">
        <v>1422</v>
      </c>
      <c r="M41" s="14" t="s">
        <v>1460</v>
      </c>
      <c r="N41" s="2" t="s">
        <v>1499</v>
      </c>
      <c r="O41" s="10">
        <v>11</v>
      </c>
      <c r="U41" s="45">
        <f>O41*V41</f>
        <v>620.4000000000001</v>
      </c>
      <c r="V41" s="45">
        <f>12*X41</f>
        <v>56.400000000000006</v>
      </c>
      <c r="W41" s="23">
        <f>(20*V41)/36</f>
        <v>31.333333333333332</v>
      </c>
      <c r="X41" s="6">
        <f>4+14/20</f>
        <v>4.7</v>
      </c>
      <c r="AB41" s="45"/>
      <c r="AC41">
        <v>4</v>
      </c>
      <c r="AD41">
        <v>14</v>
      </c>
      <c r="AE41">
        <v>0</v>
      </c>
      <c r="AF41" s="23">
        <f>AC41+AD41/20+AE41/240</f>
        <v>4.7</v>
      </c>
      <c r="AG41">
        <v>4</v>
      </c>
      <c r="AH41">
        <v>14</v>
      </c>
      <c r="AI41">
        <v>0</v>
      </c>
      <c r="AJ41" s="23">
        <f>X41*1</f>
        <v>4.7</v>
      </c>
      <c r="AK41" s="23">
        <f>W41/12</f>
        <v>2.611111111111111</v>
      </c>
      <c r="AX41" s="7"/>
      <c r="AY41" s="19"/>
      <c r="AZ41" s="19"/>
      <c r="BB41" s="23"/>
      <c r="BS41" s="21"/>
      <c r="BW41" s="20">
        <f t="shared" si="13"/>
        <v>620.4000000000001</v>
      </c>
      <c r="BX41" s="20">
        <f t="shared" si="14"/>
        <v>56.400000000000006</v>
      </c>
      <c r="CJ41">
        <f>A41*1</f>
        <v>1419</v>
      </c>
      <c r="CK41" s="2" t="s">
        <v>504</v>
      </c>
      <c r="CL41" t="s">
        <v>1034</v>
      </c>
    </row>
    <row r="42" spans="1:89" ht="12.75">
      <c r="A42" s="15"/>
      <c r="E42" s="14"/>
      <c r="F42" s="2"/>
      <c r="G42" s="2"/>
      <c r="K42" s="2"/>
      <c r="X42" s="6"/>
      <c r="AB42" s="45"/>
      <c r="AF42" s="23"/>
      <c r="AX42" s="23"/>
      <c r="AY42" s="19"/>
      <c r="AZ42" s="19"/>
      <c r="BD42" s="23"/>
      <c r="BE42" s="23"/>
      <c r="BP42" s="34"/>
      <c r="BS42" s="21"/>
      <c r="BW42" s="20">
        <f t="shared" si="13"/>
        <v>0</v>
      </c>
      <c r="BX42" s="20" t="e">
        <f t="shared" si="14"/>
        <v>#DIV/0!</v>
      </c>
      <c r="CK42" s="2"/>
    </row>
    <row r="43" spans="1:90" ht="12.75">
      <c r="A43" s="15">
        <v>1419</v>
      </c>
      <c r="B43" s="14" t="s">
        <v>952</v>
      </c>
      <c r="C43" s="14" t="s">
        <v>558</v>
      </c>
      <c r="D43" s="14" t="s">
        <v>255</v>
      </c>
      <c r="E43" s="14" t="s">
        <v>284</v>
      </c>
      <c r="F43" s="2" t="s">
        <v>76</v>
      </c>
      <c r="G43" s="2">
        <v>2</v>
      </c>
      <c r="H43" s="2" t="s">
        <v>3</v>
      </c>
      <c r="I43" s="2" t="s">
        <v>1250</v>
      </c>
      <c r="J43" s="14" t="s">
        <v>326</v>
      </c>
      <c r="K43" s="2" t="s">
        <v>1246</v>
      </c>
      <c r="L43" s="14" t="s">
        <v>1281</v>
      </c>
      <c r="M43" s="14" t="s">
        <v>1187</v>
      </c>
      <c r="N43" s="2" t="s">
        <v>1427</v>
      </c>
      <c r="O43" s="10">
        <v>0.5</v>
      </c>
      <c r="U43" s="45">
        <f aca="true" t="shared" si="15" ref="U43:U54">O43*V43</f>
        <v>54</v>
      </c>
      <c r="V43" s="45">
        <f aca="true" t="shared" si="16" ref="V43:V54">12*X43</f>
        <v>108</v>
      </c>
      <c r="X43" s="6">
        <v>9</v>
      </c>
      <c r="AC43">
        <v>4</v>
      </c>
      <c r="AD43">
        <v>10</v>
      </c>
      <c r="AE43">
        <v>0</v>
      </c>
      <c r="AF43" s="23">
        <f aca="true" t="shared" si="17" ref="AF43:AF49">AC43+AD43/20+AE43/240</f>
        <v>4.5</v>
      </c>
      <c r="AG43">
        <v>9</v>
      </c>
      <c r="AH43">
        <v>0</v>
      </c>
      <c r="AI43">
        <v>0</v>
      </c>
      <c r="AJ43" s="23">
        <f aca="true" t="shared" si="18" ref="AJ43:AJ54">X43*1</f>
        <v>9</v>
      </c>
      <c r="AK43" s="23"/>
      <c r="AU43" s="23">
        <v>9</v>
      </c>
      <c r="AX43" s="23"/>
      <c r="AY43" s="23">
        <v>9</v>
      </c>
      <c r="BD43" s="23"/>
      <c r="BG43" s="23"/>
      <c r="BS43" s="21"/>
      <c r="BW43" s="20">
        <f t="shared" si="13"/>
        <v>54</v>
      </c>
      <c r="BX43" s="20">
        <f t="shared" si="14"/>
        <v>108</v>
      </c>
      <c r="CJ43">
        <f aca="true" t="shared" si="19" ref="CJ43:CJ54">A43*1</f>
        <v>1419</v>
      </c>
      <c r="CK43" s="2" t="s">
        <v>1246</v>
      </c>
      <c r="CL43" t="s">
        <v>1050</v>
      </c>
    </row>
    <row r="44" spans="1:89" ht="12.75">
      <c r="A44" s="15">
        <v>1419</v>
      </c>
      <c r="B44" s="14" t="s">
        <v>952</v>
      </c>
      <c r="C44" s="14" t="s">
        <v>558</v>
      </c>
      <c r="D44" s="14" t="s">
        <v>255</v>
      </c>
      <c r="E44" s="14" t="s">
        <v>284</v>
      </c>
      <c r="F44" s="2" t="s">
        <v>78</v>
      </c>
      <c r="G44" s="2">
        <v>2</v>
      </c>
      <c r="H44" s="2" t="s">
        <v>428</v>
      </c>
      <c r="I44" s="2" t="s">
        <v>518</v>
      </c>
      <c r="J44" s="14" t="s">
        <v>326</v>
      </c>
      <c r="K44" s="2" t="s">
        <v>439</v>
      </c>
      <c r="L44" s="14" t="s">
        <v>408</v>
      </c>
      <c r="M44" s="14" t="s">
        <v>353</v>
      </c>
      <c r="N44" s="2" t="s">
        <v>567</v>
      </c>
      <c r="O44" s="10">
        <v>1</v>
      </c>
      <c r="U44" s="45">
        <f t="shared" si="15"/>
        <v>60</v>
      </c>
      <c r="V44" s="45">
        <f t="shared" si="16"/>
        <v>60</v>
      </c>
      <c r="X44" s="6">
        <v>5</v>
      </c>
      <c r="AC44">
        <v>5</v>
      </c>
      <c r="AD44">
        <v>0</v>
      </c>
      <c r="AE44">
        <v>0</v>
      </c>
      <c r="AF44" s="23">
        <f t="shared" si="17"/>
        <v>5</v>
      </c>
      <c r="AG44">
        <v>5</v>
      </c>
      <c r="AH44">
        <v>0</v>
      </c>
      <c r="AI44">
        <v>0</v>
      </c>
      <c r="AJ44" s="23">
        <f t="shared" si="18"/>
        <v>5</v>
      </c>
      <c r="AK44" s="23"/>
      <c r="AX44" s="23">
        <v>5</v>
      </c>
      <c r="BB44" s="7"/>
      <c r="BD44" s="23"/>
      <c r="BE44" s="23"/>
      <c r="BP44" s="34"/>
      <c r="BS44" s="21"/>
      <c r="BW44" s="20">
        <f t="shared" si="13"/>
        <v>60</v>
      </c>
      <c r="BX44" s="20">
        <f t="shared" si="14"/>
        <v>60</v>
      </c>
      <c r="CJ44">
        <f t="shared" si="19"/>
        <v>1419</v>
      </c>
      <c r="CK44" s="2" t="s">
        <v>439</v>
      </c>
    </row>
    <row r="45" spans="1:89" ht="12.75">
      <c r="A45" s="15">
        <v>1419</v>
      </c>
      <c r="B45" s="14" t="s">
        <v>952</v>
      </c>
      <c r="C45" s="14" t="s">
        <v>558</v>
      </c>
      <c r="D45" s="14" t="s">
        <v>255</v>
      </c>
      <c r="E45" s="14" t="s">
        <v>284</v>
      </c>
      <c r="F45" s="2" t="s">
        <v>79</v>
      </c>
      <c r="G45" s="2">
        <v>2</v>
      </c>
      <c r="H45" s="2" t="s">
        <v>428</v>
      </c>
      <c r="I45" s="2" t="s">
        <v>1560</v>
      </c>
      <c r="J45" s="14" t="s">
        <v>326</v>
      </c>
      <c r="K45" s="2" t="s">
        <v>445</v>
      </c>
      <c r="L45" s="14" t="s">
        <v>410</v>
      </c>
      <c r="M45" s="14" t="s">
        <v>345</v>
      </c>
      <c r="N45" s="2" t="s">
        <v>1312</v>
      </c>
      <c r="O45" s="10">
        <v>1</v>
      </c>
      <c r="U45" s="45">
        <f t="shared" si="15"/>
        <v>42</v>
      </c>
      <c r="V45" s="45">
        <f t="shared" si="16"/>
        <v>42</v>
      </c>
      <c r="X45" s="6">
        <f>3+10/20</f>
        <v>3.5</v>
      </c>
      <c r="AC45">
        <v>3</v>
      </c>
      <c r="AD45">
        <v>10</v>
      </c>
      <c r="AE45">
        <v>0</v>
      </c>
      <c r="AF45" s="23">
        <f t="shared" si="17"/>
        <v>3.5</v>
      </c>
      <c r="AG45">
        <v>3</v>
      </c>
      <c r="AH45">
        <v>10</v>
      </c>
      <c r="AI45">
        <v>0</v>
      </c>
      <c r="AJ45" s="23">
        <f t="shared" si="18"/>
        <v>3.5</v>
      </c>
      <c r="AX45" s="23">
        <v>3.5</v>
      </c>
      <c r="BB45" s="23">
        <v>3.5</v>
      </c>
      <c r="BD45" s="7"/>
      <c r="BG45" s="23"/>
      <c r="BP45" s="34"/>
      <c r="BS45" s="21"/>
      <c r="BW45" s="20">
        <f t="shared" si="13"/>
        <v>42</v>
      </c>
      <c r="BX45" s="20">
        <f t="shared" si="14"/>
        <v>42</v>
      </c>
      <c r="CJ45">
        <f t="shared" si="19"/>
        <v>1419</v>
      </c>
      <c r="CK45" s="2" t="s">
        <v>445</v>
      </c>
    </row>
    <row r="46" spans="1:89" ht="12.75">
      <c r="A46" s="15">
        <v>1419</v>
      </c>
      <c r="B46" s="14" t="s">
        <v>952</v>
      </c>
      <c r="C46" s="14" t="s">
        <v>558</v>
      </c>
      <c r="D46" s="14" t="s">
        <v>255</v>
      </c>
      <c r="E46" s="14" t="s">
        <v>284</v>
      </c>
      <c r="F46" s="2" t="s">
        <v>80</v>
      </c>
      <c r="G46" s="2">
        <v>2</v>
      </c>
      <c r="H46" s="2" t="s">
        <v>428</v>
      </c>
      <c r="I46" s="2" t="s">
        <v>1556</v>
      </c>
      <c r="J46" s="14" t="s">
        <v>326</v>
      </c>
      <c r="K46" s="2" t="s">
        <v>445</v>
      </c>
      <c r="L46" s="14" t="s">
        <v>410</v>
      </c>
      <c r="M46" s="14" t="s">
        <v>345</v>
      </c>
      <c r="N46" s="2" t="s">
        <v>1312</v>
      </c>
      <c r="O46" s="10">
        <v>1</v>
      </c>
      <c r="U46" s="45">
        <f t="shared" si="15"/>
        <v>42</v>
      </c>
      <c r="V46" s="45">
        <f t="shared" si="16"/>
        <v>42</v>
      </c>
      <c r="X46" s="6">
        <f>3+10/20</f>
        <v>3.5</v>
      </c>
      <c r="AC46">
        <v>3</v>
      </c>
      <c r="AD46">
        <v>10</v>
      </c>
      <c r="AE46">
        <v>0</v>
      </c>
      <c r="AF46" s="23">
        <f t="shared" si="17"/>
        <v>3.5</v>
      </c>
      <c r="AG46">
        <v>3</v>
      </c>
      <c r="AH46">
        <v>10</v>
      </c>
      <c r="AI46">
        <v>0</v>
      </c>
      <c r="AJ46" s="23">
        <f t="shared" si="18"/>
        <v>3.5</v>
      </c>
      <c r="AX46" s="23">
        <v>3.5</v>
      </c>
      <c r="BB46" s="23">
        <v>3.5</v>
      </c>
      <c r="BD46" s="7"/>
      <c r="BG46" s="23"/>
      <c r="BP46" s="34"/>
      <c r="BS46" s="21"/>
      <c r="BW46" s="20">
        <f t="shared" si="13"/>
        <v>42</v>
      </c>
      <c r="BX46" s="20">
        <f t="shared" si="14"/>
        <v>42</v>
      </c>
      <c r="CJ46">
        <f t="shared" si="19"/>
        <v>1419</v>
      </c>
      <c r="CK46" s="2" t="s">
        <v>445</v>
      </c>
    </row>
    <row r="47" spans="1:89" ht="12.75">
      <c r="A47" s="15">
        <v>1419</v>
      </c>
      <c r="B47" s="14" t="s">
        <v>952</v>
      </c>
      <c r="C47" s="14" t="s">
        <v>558</v>
      </c>
      <c r="D47" s="14" t="s">
        <v>255</v>
      </c>
      <c r="E47" s="14" t="s">
        <v>284</v>
      </c>
      <c r="F47" s="2" t="s">
        <v>81</v>
      </c>
      <c r="G47" s="2">
        <v>2</v>
      </c>
      <c r="H47" s="2" t="s">
        <v>1254</v>
      </c>
      <c r="I47" s="2" t="s">
        <v>1221</v>
      </c>
      <c r="J47" s="14" t="s">
        <v>326</v>
      </c>
      <c r="K47" s="2" t="s">
        <v>1262</v>
      </c>
      <c r="L47" s="14" t="s">
        <v>1226</v>
      </c>
      <c r="M47" s="14" t="s">
        <v>3</v>
      </c>
      <c r="N47" s="2" t="s">
        <v>1171</v>
      </c>
      <c r="O47" s="10">
        <v>1</v>
      </c>
      <c r="U47" s="45">
        <f t="shared" si="15"/>
        <v>30</v>
      </c>
      <c r="V47" s="45">
        <f t="shared" si="16"/>
        <v>30</v>
      </c>
      <c r="X47" s="6">
        <f>2+10/20</f>
        <v>2.5</v>
      </c>
      <c r="AC47">
        <v>2</v>
      </c>
      <c r="AD47">
        <v>10</v>
      </c>
      <c r="AE47">
        <v>0</v>
      </c>
      <c r="AF47" s="23">
        <f t="shared" si="17"/>
        <v>2.5</v>
      </c>
      <c r="AG47">
        <v>2</v>
      </c>
      <c r="AH47">
        <v>10</v>
      </c>
      <c r="AI47">
        <v>0</v>
      </c>
      <c r="AJ47" s="23">
        <f t="shared" si="18"/>
        <v>2.5</v>
      </c>
      <c r="BG47" s="23">
        <v>2.5</v>
      </c>
      <c r="BP47" s="34"/>
      <c r="BS47" s="21"/>
      <c r="BW47" s="20">
        <f t="shared" si="13"/>
        <v>30</v>
      </c>
      <c r="BX47" s="20">
        <f t="shared" si="14"/>
        <v>30</v>
      </c>
      <c r="CJ47">
        <f t="shared" si="19"/>
        <v>1419</v>
      </c>
      <c r="CK47" s="2" t="s">
        <v>1262</v>
      </c>
    </row>
    <row r="48" spans="1:89" ht="12.75">
      <c r="A48" s="15">
        <v>1419</v>
      </c>
      <c r="B48" s="14" t="s">
        <v>952</v>
      </c>
      <c r="C48" s="14" t="s">
        <v>558</v>
      </c>
      <c r="D48" s="14" t="s">
        <v>255</v>
      </c>
      <c r="E48" s="14" t="s">
        <v>284</v>
      </c>
      <c r="F48" s="2" t="s">
        <v>82</v>
      </c>
      <c r="G48" s="2">
        <v>2</v>
      </c>
      <c r="H48" s="2" t="s">
        <v>612</v>
      </c>
      <c r="I48" s="2" t="s">
        <v>1240</v>
      </c>
      <c r="J48" s="14" t="s">
        <v>326</v>
      </c>
      <c r="K48" s="2" t="s">
        <v>616</v>
      </c>
      <c r="L48" s="14" t="s">
        <v>565</v>
      </c>
      <c r="M48" s="14" t="s">
        <v>1177</v>
      </c>
      <c r="N48" s="2" t="s">
        <v>1478</v>
      </c>
      <c r="O48" s="10">
        <v>3.5</v>
      </c>
      <c r="U48" s="45">
        <f t="shared" si="15"/>
        <v>119.70000000000002</v>
      </c>
      <c r="V48" s="45">
        <f t="shared" si="16"/>
        <v>34.2</v>
      </c>
      <c r="X48" s="6">
        <f>2+17/20</f>
        <v>2.85</v>
      </c>
      <c r="AB48" s="45"/>
      <c r="AC48">
        <v>9</v>
      </c>
      <c r="AD48">
        <v>19</v>
      </c>
      <c r="AE48">
        <v>6</v>
      </c>
      <c r="AF48" s="23">
        <f t="shared" si="17"/>
        <v>9.975</v>
      </c>
      <c r="AG48">
        <v>2</v>
      </c>
      <c r="AH48">
        <v>17</v>
      </c>
      <c r="AI48">
        <v>0</v>
      </c>
      <c r="AJ48" s="23">
        <f t="shared" si="18"/>
        <v>2.85</v>
      </c>
      <c r="BG48" s="23">
        <v>2.85</v>
      </c>
      <c r="BP48" s="34"/>
      <c r="BS48" s="21"/>
      <c r="BW48" s="20">
        <f t="shared" si="13"/>
        <v>119.70000000000002</v>
      </c>
      <c r="BX48" s="20">
        <f t="shared" si="14"/>
        <v>34.2</v>
      </c>
      <c r="CJ48">
        <f t="shared" si="19"/>
        <v>1419</v>
      </c>
      <c r="CK48" s="2" t="s">
        <v>616</v>
      </c>
    </row>
    <row r="49" spans="1:89" ht="12.75">
      <c r="A49" s="15">
        <v>1419</v>
      </c>
      <c r="B49" s="14" t="s">
        <v>952</v>
      </c>
      <c r="C49" s="14" t="s">
        <v>558</v>
      </c>
      <c r="D49" s="14" t="s">
        <v>255</v>
      </c>
      <c r="E49" s="14" t="s">
        <v>284</v>
      </c>
      <c r="F49" s="2" t="s">
        <v>83</v>
      </c>
      <c r="G49" s="2">
        <v>2</v>
      </c>
      <c r="H49" s="2" t="s">
        <v>612</v>
      </c>
      <c r="I49" s="2" t="s">
        <v>1240</v>
      </c>
      <c r="J49" s="14" t="s">
        <v>326</v>
      </c>
      <c r="K49" s="2" t="s">
        <v>616</v>
      </c>
      <c r="L49" s="14" t="s">
        <v>565</v>
      </c>
      <c r="M49" s="14" t="s">
        <v>1177</v>
      </c>
      <c r="N49" s="2" t="s">
        <v>3</v>
      </c>
      <c r="O49" s="10">
        <v>0.5</v>
      </c>
      <c r="U49" s="45">
        <f t="shared" si="15"/>
        <v>17.1</v>
      </c>
      <c r="V49" s="45">
        <f t="shared" si="16"/>
        <v>34.2</v>
      </c>
      <c r="X49" s="6">
        <f>2+17/20</f>
        <v>2.85</v>
      </c>
      <c r="AD49">
        <v>28</v>
      </c>
      <c r="AE49">
        <v>6</v>
      </c>
      <c r="AF49" s="23">
        <f t="shared" si="17"/>
        <v>1.4249999999999998</v>
      </c>
      <c r="AG49">
        <v>2</v>
      </c>
      <c r="AH49">
        <v>17</v>
      </c>
      <c r="AI49">
        <v>0</v>
      </c>
      <c r="AJ49" s="23">
        <f t="shared" si="18"/>
        <v>2.85</v>
      </c>
      <c r="BG49" s="23">
        <v>2.85</v>
      </c>
      <c r="BP49" s="34"/>
      <c r="BS49" s="21"/>
      <c r="BW49" s="20">
        <f t="shared" si="13"/>
        <v>17.1</v>
      </c>
      <c r="BX49" s="20">
        <f t="shared" si="14"/>
        <v>34.2</v>
      </c>
      <c r="CJ49">
        <f t="shared" si="19"/>
        <v>1419</v>
      </c>
      <c r="CK49" s="2" t="s">
        <v>616</v>
      </c>
    </row>
    <row r="50" spans="1:89" ht="12.75">
      <c r="A50" s="15">
        <v>1419</v>
      </c>
      <c r="B50" s="14" t="s">
        <v>952</v>
      </c>
      <c r="C50" s="14" t="s">
        <v>558</v>
      </c>
      <c r="D50" s="14" t="s">
        <v>255</v>
      </c>
      <c r="E50" s="14" t="s">
        <v>284</v>
      </c>
      <c r="F50" s="2" t="s">
        <v>84</v>
      </c>
      <c r="G50" s="2">
        <v>2</v>
      </c>
      <c r="H50" s="2" t="s">
        <v>591</v>
      </c>
      <c r="I50" s="2" t="s">
        <v>1128</v>
      </c>
      <c r="J50" s="14" t="s">
        <v>326</v>
      </c>
      <c r="K50" s="2" t="s">
        <v>602</v>
      </c>
      <c r="L50" s="14" t="s">
        <v>585</v>
      </c>
      <c r="M50" s="14" t="s">
        <v>1107</v>
      </c>
      <c r="N50" s="2" t="s">
        <v>762</v>
      </c>
      <c r="O50" s="10">
        <v>3</v>
      </c>
      <c r="U50" s="45">
        <f t="shared" si="15"/>
        <v>59.699999999999996</v>
      </c>
      <c r="V50" s="45">
        <f t="shared" si="16"/>
        <v>19.9</v>
      </c>
      <c r="X50" s="6">
        <f>1+13/20+2/240</f>
        <v>1.6583333333333332</v>
      </c>
      <c r="AF50" s="23">
        <f>O50*X50</f>
        <v>4.975</v>
      </c>
      <c r="AG50">
        <v>1</v>
      </c>
      <c r="AH50">
        <v>13</v>
      </c>
      <c r="AI50">
        <v>2</v>
      </c>
      <c r="AJ50" s="23">
        <f t="shared" si="18"/>
        <v>1.6583333333333332</v>
      </c>
      <c r="AK50" s="23"/>
      <c r="BB50" s="7"/>
      <c r="BG50" s="23">
        <v>1.6583333333333334</v>
      </c>
      <c r="BP50" s="34"/>
      <c r="BS50" s="21"/>
      <c r="BW50" s="20">
        <f t="shared" si="13"/>
        <v>59.699999999999996</v>
      </c>
      <c r="BX50" s="20">
        <f t="shared" si="14"/>
        <v>19.9</v>
      </c>
      <c r="CJ50">
        <f t="shared" si="19"/>
        <v>1419</v>
      </c>
      <c r="CK50" s="2" t="s">
        <v>602</v>
      </c>
    </row>
    <row r="51" spans="1:89" ht="12.75">
      <c r="A51" s="15">
        <v>1419</v>
      </c>
      <c r="B51" s="14" t="s">
        <v>952</v>
      </c>
      <c r="C51" s="14" t="s">
        <v>558</v>
      </c>
      <c r="D51" s="14" t="s">
        <v>255</v>
      </c>
      <c r="E51" s="14" t="s">
        <v>284</v>
      </c>
      <c r="F51" s="2" t="s">
        <v>85</v>
      </c>
      <c r="G51" s="2">
        <v>2</v>
      </c>
      <c r="H51" s="2" t="s">
        <v>591</v>
      </c>
      <c r="I51" s="2" t="s">
        <v>378</v>
      </c>
      <c r="J51" s="14" t="s">
        <v>326</v>
      </c>
      <c r="K51" s="2" t="s">
        <v>593</v>
      </c>
      <c r="L51" s="14" t="s">
        <v>585</v>
      </c>
      <c r="M51" s="14" t="s">
        <v>327</v>
      </c>
      <c r="N51" s="2" t="s">
        <v>248</v>
      </c>
      <c r="O51" s="10">
        <v>1</v>
      </c>
      <c r="U51" s="45">
        <f t="shared" si="15"/>
        <v>19.900000000000002</v>
      </c>
      <c r="V51" s="45">
        <f t="shared" si="16"/>
        <v>19.900000000000002</v>
      </c>
      <c r="X51" s="6">
        <v>1.6583333333333334</v>
      </c>
      <c r="AC51">
        <v>1</v>
      </c>
      <c r="AD51">
        <v>13</v>
      </c>
      <c r="AE51">
        <v>2</v>
      </c>
      <c r="AF51" s="23">
        <f>AC51+AD51/20+AE51/240</f>
        <v>1.6583333333333332</v>
      </c>
      <c r="AG51">
        <v>1</v>
      </c>
      <c r="AH51">
        <v>13</v>
      </c>
      <c r="AI51">
        <v>2</v>
      </c>
      <c r="AJ51" s="23">
        <f t="shared" si="18"/>
        <v>1.6583333333333334</v>
      </c>
      <c r="AK51" s="23"/>
      <c r="BB51" s="7"/>
      <c r="BG51" s="23">
        <v>1.6583333333333334</v>
      </c>
      <c r="BP51" s="34"/>
      <c r="BS51" s="21"/>
      <c r="BW51" s="20">
        <f t="shared" si="13"/>
        <v>19.900000000000002</v>
      </c>
      <c r="BX51" s="20">
        <f t="shared" si="14"/>
        <v>19.900000000000002</v>
      </c>
      <c r="CJ51">
        <f t="shared" si="19"/>
        <v>1419</v>
      </c>
      <c r="CK51" s="2" t="s">
        <v>593</v>
      </c>
    </row>
    <row r="52" spans="1:89" ht="12.75">
      <c r="A52" s="15">
        <v>1419</v>
      </c>
      <c r="B52" s="14" t="s">
        <v>952</v>
      </c>
      <c r="C52" s="14" t="s">
        <v>558</v>
      </c>
      <c r="D52" s="14" t="s">
        <v>255</v>
      </c>
      <c r="E52" s="14" t="s">
        <v>284</v>
      </c>
      <c r="F52" s="2" t="s">
        <v>86</v>
      </c>
      <c r="G52" s="2">
        <v>2</v>
      </c>
      <c r="H52" s="2" t="s">
        <v>591</v>
      </c>
      <c r="I52" s="2" t="s">
        <v>1230</v>
      </c>
      <c r="J52" s="14" t="s">
        <v>326</v>
      </c>
      <c r="K52" s="2" t="s">
        <v>603</v>
      </c>
      <c r="L52" s="14" t="s">
        <v>585</v>
      </c>
      <c r="M52" s="14" t="s">
        <v>1177</v>
      </c>
      <c r="N52" s="2" t="s">
        <v>1464</v>
      </c>
      <c r="O52" s="10">
        <v>1</v>
      </c>
      <c r="U52" s="45">
        <f t="shared" si="15"/>
        <v>19.900000000000002</v>
      </c>
      <c r="V52" s="45">
        <f t="shared" si="16"/>
        <v>19.900000000000002</v>
      </c>
      <c r="X52" s="6">
        <v>1.6583333333333334</v>
      </c>
      <c r="AB52" s="45"/>
      <c r="AC52">
        <v>1</v>
      </c>
      <c r="AD52">
        <v>13</v>
      </c>
      <c r="AE52">
        <v>2</v>
      </c>
      <c r="AF52" s="23">
        <f>AC52+AD52/20+AE52/240</f>
        <v>1.6583333333333332</v>
      </c>
      <c r="AG52">
        <v>1</v>
      </c>
      <c r="AH52">
        <v>13</v>
      </c>
      <c r="AI52">
        <v>2</v>
      </c>
      <c r="AJ52" s="23">
        <f t="shared" si="18"/>
        <v>1.6583333333333334</v>
      </c>
      <c r="AK52" s="23"/>
      <c r="AU52" s="23"/>
      <c r="BB52" s="7"/>
      <c r="BG52" s="23">
        <v>1.6583333333333334</v>
      </c>
      <c r="BP52" s="34"/>
      <c r="BS52" s="21"/>
      <c r="BW52" s="20">
        <f t="shared" si="13"/>
        <v>19.900000000000002</v>
      </c>
      <c r="BX52" s="20">
        <f t="shared" si="14"/>
        <v>19.900000000000002</v>
      </c>
      <c r="CJ52">
        <f t="shared" si="19"/>
        <v>1419</v>
      </c>
      <c r="CK52" s="2" t="s">
        <v>603</v>
      </c>
    </row>
    <row r="53" spans="1:90" ht="12.75">
      <c r="A53" s="15">
        <v>1419</v>
      </c>
      <c r="B53" s="14" t="s">
        <v>952</v>
      </c>
      <c r="C53" s="14" t="s">
        <v>558</v>
      </c>
      <c r="D53" s="14" t="s">
        <v>255</v>
      </c>
      <c r="E53" s="14" t="s">
        <v>284</v>
      </c>
      <c r="F53" s="2" t="s">
        <v>87</v>
      </c>
      <c r="G53" s="2">
        <v>2</v>
      </c>
      <c r="H53" s="2" t="s">
        <v>428</v>
      </c>
      <c r="I53" s="2" t="s">
        <v>1519</v>
      </c>
      <c r="J53" s="14" t="s">
        <v>326</v>
      </c>
      <c r="K53" s="2" t="s">
        <v>497</v>
      </c>
      <c r="L53" s="14" t="s">
        <v>410</v>
      </c>
      <c r="M53" s="14" t="s">
        <v>1461</v>
      </c>
      <c r="N53" s="2" t="s">
        <v>1301</v>
      </c>
      <c r="O53" s="10">
        <v>50</v>
      </c>
      <c r="U53" s="45">
        <f t="shared" si="15"/>
        <v>2340</v>
      </c>
      <c r="V53" s="45">
        <f t="shared" si="16"/>
        <v>46.8</v>
      </c>
      <c r="X53" s="6">
        <f>3+18/20</f>
        <v>3.9</v>
      </c>
      <c r="AB53" s="45"/>
      <c r="AF53" s="23">
        <f>O53*X53</f>
        <v>195</v>
      </c>
      <c r="AG53">
        <v>3</v>
      </c>
      <c r="AH53">
        <v>18</v>
      </c>
      <c r="AI53">
        <v>0</v>
      </c>
      <c r="AJ53" s="23">
        <f t="shared" si="18"/>
        <v>3.9</v>
      </c>
      <c r="AK53" s="23"/>
      <c r="AU53" s="23"/>
      <c r="AY53" s="23"/>
      <c r="BC53" s="23">
        <v>3.9</v>
      </c>
      <c r="BG53" s="23"/>
      <c r="BP53" s="34"/>
      <c r="BS53" s="21"/>
      <c r="BW53" s="20">
        <f t="shared" si="13"/>
        <v>2340</v>
      </c>
      <c r="BX53" s="20">
        <f t="shared" si="14"/>
        <v>46.8</v>
      </c>
      <c r="CJ53">
        <f t="shared" si="19"/>
        <v>1419</v>
      </c>
      <c r="CK53" s="2" t="s">
        <v>497</v>
      </c>
      <c r="CL53" t="s">
        <v>1051</v>
      </c>
    </row>
    <row r="54" spans="1:89" ht="12.75">
      <c r="A54" s="15">
        <v>1419</v>
      </c>
      <c r="B54" s="14" t="s">
        <v>952</v>
      </c>
      <c r="C54" s="14" t="s">
        <v>558</v>
      </c>
      <c r="D54" s="14" t="s">
        <v>255</v>
      </c>
      <c r="E54" s="14" t="s">
        <v>284</v>
      </c>
      <c r="F54" s="2" t="s">
        <v>77</v>
      </c>
      <c r="G54" s="2">
        <v>2</v>
      </c>
      <c r="H54" s="2" t="s">
        <v>591</v>
      </c>
      <c r="I54" s="2" t="s">
        <v>840</v>
      </c>
      <c r="J54" s="14" t="s">
        <v>326</v>
      </c>
      <c r="K54" s="2" t="s">
        <v>600</v>
      </c>
      <c r="L54" s="14" t="s">
        <v>585</v>
      </c>
      <c r="M54" s="14" t="s">
        <v>745</v>
      </c>
      <c r="N54" s="2" t="s">
        <v>14</v>
      </c>
      <c r="O54" s="10">
        <v>1</v>
      </c>
      <c r="U54" s="45">
        <f t="shared" si="15"/>
        <v>19.9</v>
      </c>
      <c r="V54" s="45">
        <f t="shared" si="16"/>
        <v>19.9</v>
      </c>
      <c r="X54" s="6">
        <f>1+13/20+2/240</f>
        <v>1.6583333333333332</v>
      </c>
      <c r="AB54" s="45"/>
      <c r="AC54">
        <v>1</v>
      </c>
      <c r="AD54">
        <v>13</v>
      </c>
      <c r="AE54">
        <v>2</v>
      </c>
      <c r="AF54" s="23">
        <f>AC54+AD54/20+AE54/240</f>
        <v>1.6583333333333332</v>
      </c>
      <c r="AG54">
        <v>1</v>
      </c>
      <c r="AH54">
        <v>13</v>
      </c>
      <c r="AI54">
        <v>2</v>
      </c>
      <c r="AJ54" s="23">
        <f t="shared" si="18"/>
        <v>1.6583333333333332</v>
      </c>
      <c r="AK54" s="23"/>
      <c r="BG54" s="23">
        <v>1.6583333333333334</v>
      </c>
      <c r="BP54" s="34"/>
      <c r="BS54" s="21"/>
      <c r="BW54" s="20">
        <f t="shared" si="13"/>
        <v>19.9</v>
      </c>
      <c r="BX54" s="20">
        <f t="shared" si="14"/>
        <v>19.9</v>
      </c>
      <c r="CJ54">
        <f t="shared" si="19"/>
        <v>1419</v>
      </c>
      <c r="CK54" s="2" t="s">
        <v>600</v>
      </c>
    </row>
    <row r="55" spans="1:89" ht="12.75">
      <c r="A55" s="15"/>
      <c r="E55" s="14"/>
      <c r="F55" s="2"/>
      <c r="G55" s="2"/>
      <c r="K55" s="2"/>
      <c r="U55" s="45"/>
      <c r="V55" s="45"/>
      <c r="X55" s="6"/>
      <c r="AB55" s="45"/>
      <c r="AJ55" s="23"/>
      <c r="AK55" s="23"/>
      <c r="AU55" s="23"/>
      <c r="AY55" s="23"/>
      <c r="BP55" s="34"/>
      <c r="BS55" s="21"/>
      <c r="BW55" s="20"/>
      <c r="BX55" s="20"/>
      <c r="CK55" s="2"/>
    </row>
    <row r="56" spans="1:90" ht="12.75">
      <c r="A56" s="15" t="s">
        <v>12</v>
      </c>
      <c r="B56" s="14" t="s">
        <v>3</v>
      </c>
      <c r="C56" s="14" t="s">
        <v>1267</v>
      </c>
      <c r="D56" s="14" t="s">
        <v>12</v>
      </c>
      <c r="E56" s="14" t="s">
        <v>270</v>
      </c>
      <c r="F56" s="2" t="s">
        <v>88</v>
      </c>
      <c r="G56" s="2"/>
      <c r="H56" s="2" t="s">
        <v>1254</v>
      </c>
      <c r="I56" s="2" t="s">
        <v>516</v>
      </c>
      <c r="J56" s="14" t="s">
        <v>326</v>
      </c>
      <c r="K56" s="2" t="s">
        <v>1258</v>
      </c>
      <c r="L56" s="14" t="s">
        <v>1226</v>
      </c>
      <c r="M56" s="14" t="s">
        <v>347</v>
      </c>
      <c r="N56" s="2" t="s">
        <v>1293</v>
      </c>
      <c r="O56" s="10">
        <v>2</v>
      </c>
      <c r="P56" s="10">
        <v>23</v>
      </c>
      <c r="U56" s="45">
        <f>O56*V56+(12*(1+13/20+4/240))</f>
        <v>80</v>
      </c>
      <c r="V56" s="45">
        <v>30</v>
      </c>
      <c r="W56" s="23">
        <f>(12*20*(1+13/20+4/240))/P56</f>
        <v>17.391304347826086</v>
      </c>
      <c r="X56" s="6">
        <f>2+10/20</f>
        <v>2.5</v>
      </c>
      <c r="AB56" s="45"/>
      <c r="AC56">
        <v>6</v>
      </c>
      <c r="AD56">
        <v>13</v>
      </c>
      <c r="AE56">
        <v>4</v>
      </c>
      <c r="AF56" s="23">
        <f>AC56+AD56/20+AE56/240</f>
        <v>6.666666666666667</v>
      </c>
      <c r="AG56">
        <v>2</v>
      </c>
      <c r="AH56">
        <v>10</v>
      </c>
      <c r="AI56">
        <v>0</v>
      </c>
      <c r="AJ56" s="23">
        <f>X56*1</f>
        <v>2.5</v>
      </c>
      <c r="AK56" s="23">
        <f>W56/12</f>
        <v>1.4492753623188406</v>
      </c>
      <c r="AX56" s="23"/>
      <c r="BB56" s="7"/>
      <c r="BD56" s="23">
        <v>2.5</v>
      </c>
      <c r="BG56" s="7"/>
      <c r="BP56" s="34"/>
      <c r="BS56" s="21"/>
      <c r="BW56" s="20">
        <f>U56+(BO56*12*O56)+BT56</f>
        <v>80</v>
      </c>
      <c r="BX56" s="20">
        <f>V56</f>
        <v>30</v>
      </c>
      <c r="CJ56" s="17" t="s">
        <v>12</v>
      </c>
      <c r="CK56" s="2" t="s">
        <v>1258</v>
      </c>
      <c r="CL56" t="s">
        <v>35</v>
      </c>
    </row>
    <row r="57" spans="1:90" ht="12.75">
      <c r="A57" s="15" t="s">
        <v>12</v>
      </c>
      <c r="B57" s="14" t="s">
        <v>3</v>
      </c>
      <c r="C57" s="14" t="s">
        <v>1267</v>
      </c>
      <c r="D57" s="14" t="s">
        <v>12</v>
      </c>
      <c r="E57" s="14" t="s">
        <v>270</v>
      </c>
      <c r="F57" s="2" t="s">
        <v>89</v>
      </c>
      <c r="G57" s="2"/>
      <c r="H57" s="2" t="s">
        <v>428</v>
      </c>
      <c r="I57" s="2" t="s">
        <v>1217</v>
      </c>
      <c r="J57" s="14" t="s">
        <v>326</v>
      </c>
      <c r="K57" s="2" t="s">
        <v>491</v>
      </c>
      <c r="L57" s="14" t="s">
        <v>410</v>
      </c>
      <c r="M57" s="14" t="s">
        <v>1177</v>
      </c>
      <c r="N57" s="2" t="s">
        <v>1293</v>
      </c>
      <c r="O57" s="10">
        <v>2</v>
      </c>
      <c r="P57" s="10">
        <v>14</v>
      </c>
      <c r="U57" s="45">
        <f>O57*V57+(12*(1+9/20+2/240))</f>
        <v>99.1</v>
      </c>
      <c r="V57" s="45">
        <v>40.8</v>
      </c>
      <c r="W57" s="23">
        <f>(12*20*(1+9/20+2/240))/P57</f>
        <v>25</v>
      </c>
      <c r="X57" s="6">
        <f>3+8/20</f>
        <v>3.4</v>
      </c>
      <c r="AC57">
        <v>4</v>
      </c>
      <c r="AD57">
        <v>17</v>
      </c>
      <c r="AE57">
        <v>2</v>
      </c>
      <c r="AF57" s="23">
        <f>AC57+AD57/20+AE57/240</f>
        <v>4.858333333333333</v>
      </c>
      <c r="AG57">
        <v>3</v>
      </c>
      <c r="AH57">
        <v>8</v>
      </c>
      <c r="AI57">
        <v>0</v>
      </c>
      <c r="AJ57" s="23">
        <f>X57*1</f>
        <v>3.4</v>
      </c>
      <c r="AK57" s="23">
        <f>W57/12</f>
        <v>2.0833333333333335</v>
      </c>
      <c r="BB57" s="23"/>
      <c r="BD57" s="23">
        <v>3.4</v>
      </c>
      <c r="BE57" s="19"/>
      <c r="BF57" s="19"/>
      <c r="BP57" s="34"/>
      <c r="BS57" s="21"/>
      <c r="BW57" s="20">
        <f>U57+(BO57*12*O57)+BT57</f>
        <v>99.1</v>
      </c>
      <c r="BX57" s="20">
        <f>V57</f>
        <v>40.8</v>
      </c>
      <c r="CJ57" s="17" t="s">
        <v>12</v>
      </c>
      <c r="CK57" s="2" t="s">
        <v>491</v>
      </c>
      <c r="CL57" t="s">
        <v>32</v>
      </c>
    </row>
    <row r="58" spans="1:89" ht="12.75">
      <c r="A58" s="15"/>
      <c r="E58" s="14"/>
      <c r="F58" s="2"/>
      <c r="G58" s="2"/>
      <c r="K58" s="2"/>
      <c r="U58" s="45"/>
      <c r="V58" s="45"/>
      <c r="X58" s="6"/>
      <c r="AF58" s="23"/>
      <c r="AJ58" s="23"/>
      <c r="AX58" s="23"/>
      <c r="BD58" s="7"/>
      <c r="BE58" s="19"/>
      <c r="BF58" s="19"/>
      <c r="BP58" s="34"/>
      <c r="BS58" s="21"/>
      <c r="BW58" s="20"/>
      <c r="BX58" s="20"/>
      <c r="CK58" s="2"/>
    </row>
    <row r="59" spans="1:90" ht="12.75">
      <c r="A59" s="15">
        <v>1419</v>
      </c>
      <c r="B59" s="14" t="s">
        <v>1077</v>
      </c>
      <c r="C59" s="14" t="s">
        <v>558</v>
      </c>
      <c r="D59" s="14" t="s">
        <v>256</v>
      </c>
      <c r="E59" s="14" t="s">
        <v>272</v>
      </c>
      <c r="F59" s="2" t="s">
        <v>90</v>
      </c>
      <c r="G59" s="2"/>
      <c r="H59" s="2" t="s">
        <v>428</v>
      </c>
      <c r="I59" s="2" t="s">
        <v>704</v>
      </c>
      <c r="J59" s="14" t="s">
        <v>326</v>
      </c>
      <c r="K59" s="2" t="s">
        <v>455</v>
      </c>
      <c r="L59" s="14" t="s">
        <v>408</v>
      </c>
      <c r="M59" s="14" t="s">
        <v>754</v>
      </c>
      <c r="N59" s="2" t="s">
        <v>1494</v>
      </c>
      <c r="O59" s="10">
        <v>5</v>
      </c>
      <c r="U59" s="45">
        <f aca="true" t="shared" si="20" ref="U59:U72">O59*V59</f>
        <v>300</v>
      </c>
      <c r="V59" s="45">
        <f aca="true" t="shared" si="21" ref="V59:V72">12*X59</f>
        <v>60</v>
      </c>
      <c r="X59" s="6">
        <v>5</v>
      </c>
      <c r="AF59" s="23">
        <f>X59*O59</f>
        <v>25</v>
      </c>
      <c r="AG59">
        <v>5</v>
      </c>
      <c r="AH59">
        <v>0</v>
      </c>
      <c r="AI59">
        <v>0</v>
      </c>
      <c r="AJ59" s="23">
        <f aca="true" t="shared" si="22" ref="AJ59:AJ72">X59*1</f>
        <v>5</v>
      </c>
      <c r="AK59" s="23"/>
      <c r="BE59" s="23"/>
      <c r="BS59" s="21"/>
      <c r="BW59" s="20">
        <f aca="true" t="shared" si="23" ref="BW59:BW72">U59+(BO59*12*O59)+BT59</f>
        <v>300</v>
      </c>
      <c r="BX59" s="20">
        <f aca="true" t="shared" si="24" ref="BX59:BX72">BW59/O59</f>
        <v>60</v>
      </c>
      <c r="CJ59">
        <f aca="true" t="shared" si="25" ref="CJ59:CJ72">A59*1</f>
        <v>1419</v>
      </c>
      <c r="CK59" s="2" t="s">
        <v>455</v>
      </c>
      <c r="CL59" t="s">
        <v>1020</v>
      </c>
    </row>
    <row r="60" spans="1:90" ht="12.75">
      <c r="A60" s="15">
        <v>1419</v>
      </c>
      <c r="B60" s="14" t="s">
        <v>1077</v>
      </c>
      <c r="C60" s="14" t="s">
        <v>558</v>
      </c>
      <c r="D60" s="14" t="s">
        <v>256</v>
      </c>
      <c r="E60" s="14" t="s">
        <v>272</v>
      </c>
      <c r="F60" s="2" t="s">
        <v>91</v>
      </c>
      <c r="G60" s="2"/>
      <c r="H60" s="2" t="s">
        <v>428</v>
      </c>
      <c r="I60" s="2" t="s">
        <v>704</v>
      </c>
      <c r="J60" s="14" t="s">
        <v>326</v>
      </c>
      <c r="K60" s="2" t="s">
        <v>455</v>
      </c>
      <c r="L60" s="14" t="s">
        <v>408</v>
      </c>
      <c r="M60" s="14" t="s">
        <v>754</v>
      </c>
      <c r="N60" s="2" t="s">
        <v>1494</v>
      </c>
      <c r="O60" s="10">
        <v>4</v>
      </c>
      <c r="U60" s="45">
        <f t="shared" si="20"/>
        <v>235.20000000000002</v>
      </c>
      <c r="V60" s="45">
        <f t="shared" si="21"/>
        <v>58.800000000000004</v>
      </c>
      <c r="X60" s="6">
        <f>4+18/20</f>
        <v>4.9</v>
      </c>
      <c r="AB60" s="45"/>
      <c r="AF60" s="23">
        <f>X60*O60</f>
        <v>19.6</v>
      </c>
      <c r="AG60">
        <v>4</v>
      </c>
      <c r="AH60">
        <v>18</v>
      </c>
      <c r="AI60">
        <v>0</v>
      </c>
      <c r="AJ60" s="23">
        <f t="shared" si="22"/>
        <v>4.9</v>
      </c>
      <c r="AK60" s="23"/>
      <c r="AX60" s="23"/>
      <c r="BG60" s="23"/>
      <c r="BS60" s="21"/>
      <c r="BW60" s="20">
        <f t="shared" si="23"/>
        <v>235.20000000000002</v>
      </c>
      <c r="BX60" s="20">
        <f t="shared" si="24"/>
        <v>58.800000000000004</v>
      </c>
      <c r="CJ60">
        <f t="shared" si="25"/>
        <v>1419</v>
      </c>
      <c r="CK60" s="2" t="s">
        <v>455</v>
      </c>
      <c r="CL60" t="s">
        <v>1020</v>
      </c>
    </row>
    <row r="61" spans="1:90" ht="12.75">
      <c r="A61" s="15">
        <v>1419</v>
      </c>
      <c r="B61" s="14" t="s">
        <v>1077</v>
      </c>
      <c r="C61" s="14" t="s">
        <v>558</v>
      </c>
      <c r="D61" s="14" t="s">
        <v>256</v>
      </c>
      <c r="E61" s="14" t="s">
        <v>272</v>
      </c>
      <c r="F61" s="2" t="s">
        <v>92</v>
      </c>
      <c r="G61" s="2"/>
      <c r="H61" s="2" t="s">
        <v>428</v>
      </c>
      <c r="I61" s="2" t="s">
        <v>704</v>
      </c>
      <c r="J61" s="14" t="s">
        <v>326</v>
      </c>
      <c r="K61" s="2" t="s">
        <v>455</v>
      </c>
      <c r="L61" s="14" t="s">
        <v>408</v>
      </c>
      <c r="M61" s="14" t="s">
        <v>754</v>
      </c>
      <c r="N61" s="2" t="s">
        <v>1494</v>
      </c>
      <c r="O61" s="10">
        <v>2</v>
      </c>
      <c r="U61" s="45">
        <f t="shared" si="20"/>
        <v>116.39999999999999</v>
      </c>
      <c r="V61" s="45">
        <f t="shared" si="21"/>
        <v>58.199999999999996</v>
      </c>
      <c r="X61" s="6">
        <f>4+17/20</f>
        <v>4.85</v>
      </c>
      <c r="AF61" s="23">
        <f>X61*O61</f>
        <v>9.7</v>
      </c>
      <c r="AG61">
        <v>4</v>
      </c>
      <c r="AH61">
        <v>17</v>
      </c>
      <c r="AI61">
        <v>0</v>
      </c>
      <c r="AJ61" s="23">
        <f t="shared" si="22"/>
        <v>4.85</v>
      </c>
      <c r="AK61" s="23"/>
      <c r="BB61" s="23"/>
      <c r="BD61" s="7"/>
      <c r="BE61" s="19"/>
      <c r="BF61" s="19"/>
      <c r="BP61" s="34"/>
      <c r="BS61" s="21"/>
      <c r="BW61" s="20">
        <f t="shared" si="23"/>
        <v>116.39999999999999</v>
      </c>
      <c r="BX61" s="20">
        <f t="shared" si="24"/>
        <v>58.199999999999996</v>
      </c>
      <c r="CJ61">
        <f t="shared" si="25"/>
        <v>1419</v>
      </c>
      <c r="CK61" s="2" t="s">
        <v>455</v>
      </c>
      <c r="CL61" t="s">
        <v>1020</v>
      </c>
    </row>
    <row r="62" spans="1:89" ht="12.75">
      <c r="A62" s="15">
        <v>1419</v>
      </c>
      <c r="B62" s="14" t="s">
        <v>1077</v>
      </c>
      <c r="C62" s="14" t="s">
        <v>558</v>
      </c>
      <c r="D62" s="14" t="s">
        <v>256</v>
      </c>
      <c r="E62" s="14" t="s">
        <v>272</v>
      </c>
      <c r="F62" s="2" t="s">
        <v>93</v>
      </c>
      <c r="G62" s="2"/>
      <c r="H62" s="2" t="s">
        <v>428</v>
      </c>
      <c r="I62" s="2" t="s">
        <v>708</v>
      </c>
      <c r="J62" s="14" t="s">
        <v>326</v>
      </c>
      <c r="K62" s="2" t="s">
        <v>461</v>
      </c>
      <c r="L62" s="14" t="s">
        <v>410</v>
      </c>
      <c r="M62" s="14" t="s">
        <v>755</v>
      </c>
      <c r="N62" s="2" t="s">
        <v>1494</v>
      </c>
      <c r="O62" s="10">
        <v>1</v>
      </c>
      <c r="U62" s="45">
        <f t="shared" si="20"/>
        <v>57.599999999999994</v>
      </c>
      <c r="V62" s="45">
        <f t="shared" si="21"/>
        <v>57.599999999999994</v>
      </c>
      <c r="X62" s="6">
        <f>4+16/20</f>
        <v>4.8</v>
      </c>
      <c r="AB62" s="45"/>
      <c r="AC62">
        <v>4</v>
      </c>
      <c r="AD62">
        <v>16</v>
      </c>
      <c r="AE62">
        <v>0</v>
      </c>
      <c r="AF62" s="23">
        <f>AC62+AD62/20+AE62/240</f>
        <v>4.8</v>
      </c>
      <c r="AG62">
        <v>4</v>
      </c>
      <c r="AH62">
        <v>16</v>
      </c>
      <c r="AI62">
        <v>0</v>
      </c>
      <c r="AJ62" s="23">
        <f t="shared" si="22"/>
        <v>4.8</v>
      </c>
      <c r="AK62" s="23"/>
      <c r="BD62" s="7"/>
      <c r="BE62" s="23"/>
      <c r="BF62" s="19"/>
      <c r="BG62" s="23"/>
      <c r="BP62" s="34"/>
      <c r="BS62" s="21"/>
      <c r="BW62" s="20">
        <f t="shared" si="23"/>
        <v>57.599999999999994</v>
      </c>
      <c r="BX62" s="20">
        <f t="shared" si="24"/>
        <v>57.599999999999994</v>
      </c>
      <c r="CJ62">
        <f t="shared" si="25"/>
        <v>1419</v>
      </c>
      <c r="CK62" s="2" t="s">
        <v>461</v>
      </c>
    </row>
    <row r="63" spans="1:89" ht="12.75">
      <c r="A63" s="15">
        <v>1419</v>
      </c>
      <c r="B63" s="14" t="s">
        <v>1077</v>
      </c>
      <c r="C63" s="14" t="s">
        <v>558</v>
      </c>
      <c r="D63" s="14" t="s">
        <v>256</v>
      </c>
      <c r="E63" s="14" t="s">
        <v>272</v>
      </c>
      <c r="F63" s="2" t="s">
        <v>94</v>
      </c>
      <c r="G63" s="2"/>
      <c r="H63" s="2" t="s">
        <v>428</v>
      </c>
      <c r="I63" s="2" t="s">
        <v>708</v>
      </c>
      <c r="J63" s="14" t="s">
        <v>326</v>
      </c>
      <c r="K63" s="2" t="s">
        <v>461</v>
      </c>
      <c r="L63" s="14" t="s">
        <v>410</v>
      </c>
      <c r="M63" s="14" t="s">
        <v>755</v>
      </c>
      <c r="N63" s="2" t="s">
        <v>1494</v>
      </c>
      <c r="O63" s="10">
        <v>1</v>
      </c>
      <c r="U63" s="45">
        <f t="shared" si="20"/>
        <v>57</v>
      </c>
      <c r="V63" s="45">
        <f t="shared" si="21"/>
        <v>57</v>
      </c>
      <c r="X63" s="6">
        <f>4+15/20</f>
        <v>4.75</v>
      </c>
      <c r="AB63" s="45"/>
      <c r="AC63">
        <v>4</v>
      </c>
      <c r="AD63">
        <v>15</v>
      </c>
      <c r="AE63">
        <v>0</v>
      </c>
      <c r="AF63" s="23">
        <f>AC63+AD63/20+AE63/240</f>
        <v>4.75</v>
      </c>
      <c r="AG63">
        <v>4</v>
      </c>
      <c r="AH63">
        <v>15</v>
      </c>
      <c r="AI63">
        <v>0</v>
      </c>
      <c r="AJ63" s="23">
        <f t="shared" si="22"/>
        <v>4.75</v>
      </c>
      <c r="AK63" s="23"/>
      <c r="BG63" s="23"/>
      <c r="BS63" s="21"/>
      <c r="BW63" s="20">
        <f t="shared" si="23"/>
        <v>57</v>
      </c>
      <c r="BX63" s="20">
        <f t="shared" si="24"/>
        <v>57</v>
      </c>
      <c r="CJ63">
        <f t="shared" si="25"/>
        <v>1419</v>
      </c>
      <c r="CK63" s="2" t="s">
        <v>461</v>
      </c>
    </row>
    <row r="64" spans="1:89" ht="12.75">
      <c r="A64" s="15">
        <v>1419</v>
      </c>
      <c r="B64" s="14" t="s">
        <v>1077</v>
      </c>
      <c r="C64" s="14" t="s">
        <v>558</v>
      </c>
      <c r="D64" s="14" t="s">
        <v>256</v>
      </c>
      <c r="E64" s="14" t="s">
        <v>272</v>
      </c>
      <c r="F64" s="2" t="s">
        <v>95</v>
      </c>
      <c r="G64" s="2"/>
      <c r="H64" s="2" t="s">
        <v>428</v>
      </c>
      <c r="I64" s="2" t="s">
        <v>708</v>
      </c>
      <c r="J64" s="14" t="s">
        <v>326</v>
      </c>
      <c r="K64" s="2" t="s">
        <v>461</v>
      </c>
      <c r="L64" s="14" t="s">
        <v>410</v>
      </c>
      <c r="M64" s="14" t="s">
        <v>755</v>
      </c>
      <c r="N64" s="2" t="s">
        <v>1494</v>
      </c>
      <c r="O64" s="10">
        <v>8</v>
      </c>
      <c r="U64" s="45">
        <f t="shared" si="20"/>
        <v>441.59999999999997</v>
      </c>
      <c r="V64" s="45">
        <f t="shared" si="21"/>
        <v>55.199999999999996</v>
      </c>
      <c r="X64" s="6">
        <f>4+12/20</f>
        <v>4.6</v>
      </c>
      <c r="AB64" s="45"/>
      <c r="AF64" s="23">
        <f>X64*O64</f>
        <v>36.8</v>
      </c>
      <c r="AG64">
        <v>4</v>
      </c>
      <c r="AH64">
        <v>12</v>
      </c>
      <c r="AI64">
        <v>0</v>
      </c>
      <c r="AJ64" s="23">
        <f t="shared" si="22"/>
        <v>4.6</v>
      </c>
      <c r="AX64" s="23"/>
      <c r="BG64" s="23"/>
      <c r="BS64" s="21"/>
      <c r="BW64" s="20">
        <f t="shared" si="23"/>
        <v>441.59999999999997</v>
      </c>
      <c r="BX64" s="20">
        <f t="shared" si="24"/>
        <v>55.199999999999996</v>
      </c>
      <c r="CJ64">
        <f t="shared" si="25"/>
        <v>1419</v>
      </c>
      <c r="CK64" s="2" t="s">
        <v>461</v>
      </c>
    </row>
    <row r="65" spans="1:89" ht="12.75">
      <c r="A65" s="15">
        <v>1419</v>
      </c>
      <c r="B65" s="14" t="s">
        <v>1077</v>
      </c>
      <c r="C65" s="14" t="s">
        <v>558</v>
      </c>
      <c r="D65" s="14" t="s">
        <v>256</v>
      </c>
      <c r="E65" s="14" t="s">
        <v>272</v>
      </c>
      <c r="F65" s="2" t="s">
        <v>96</v>
      </c>
      <c r="G65" s="2"/>
      <c r="H65" s="2" t="s">
        <v>428</v>
      </c>
      <c r="I65" s="2" t="s">
        <v>708</v>
      </c>
      <c r="J65" s="14" t="s">
        <v>326</v>
      </c>
      <c r="K65" s="2" t="s">
        <v>461</v>
      </c>
      <c r="L65" s="14" t="s">
        <v>410</v>
      </c>
      <c r="M65" s="14" t="s">
        <v>755</v>
      </c>
      <c r="N65" s="2" t="s">
        <v>1494</v>
      </c>
      <c r="O65" s="10">
        <v>1</v>
      </c>
      <c r="U65" s="45">
        <f t="shared" si="20"/>
        <v>56.400000000000006</v>
      </c>
      <c r="V65" s="45">
        <f t="shared" si="21"/>
        <v>56.400000000000006</v>
      </c>
      <c r="X65" s="6">
        <f>4+14/20</f>
        <v>4.7</v>
      </c>
      <c r="AB65" s="45"/>
      <c r="AC65">
        <v>4</v>
      </c>
      <c r="AD65">
        <v>14</v>
      </c>
      <c r="AE65">
        <v>0</v>
      </c>
      <c r="AF65" s="23">
        <f>AC65+AD65/20+AE65/240</f>
        <v>4.7</v>
      </c>
      <c r="AG65">
        <v>4</v>
      </c>
      <c r="AH65">
        <v>14</v>
      </c>
      <c r="AI65">
        <v>0</v>
      </c>
      <c r="AJ65" s="23">
        <f t="shared" si="22"/>
        <v>4.7</v>
      </c>
      <c r="AK65" s="23"/>
      <c r="BG65" s="23"/>
      <c r="BS65" s="21"/>
      <c r="BW65" s="20">
        <f t="shared" si="23"/>
        <v>56.400000000000006</v>
      </c>
      <c r="BX65" s="20">
        <f t="shared" si="24"/>
        <v>56.400000000000006</v>
      </c>
      <c r="CJ65">
        <f t="shared" si="25"/>
        <v>1419</v>
      </c>
      <c r="CK65" s="2" t="s">
        <v>461</v>
      </c>
    </row>
    <row r="66" spans="1:89" ht="12.75">
      <c r="A66" s="15">
        <v>1419</v>
      </c>
      <c r="B66" s="14" t="s">
        <v>1077</v>
      </c>
      <c r="C66" s="14" t="s">
        <v>558</v>
      </c>
      <c r="D66" s="14" t="s">
        <v>256</v>
      </c>
      <c r="E66" s="14" t="s">
        <v>272</v>
      </c>
      <c r="F66" s="2" t="s">
        <v>97</v>
      </c>
      <c r="G66" s="2"/>
      <c r="H66" s="2" t="s">
        <v>428</v>
      </c>
      <c r="I66" s="2" t="s">
        <v>1218</v>
      </c>
      <c r="J66" s="14" t="s">
        <v>326</v>
      </c>
      <c r="K66" s="2" t="s">
        <v>490</v>
      </c>
      <c r="L66" s="14" t="s">
        <v>410</v>
      </c>
      <c r="M66" s="14" t="s">
        <v>1177</v>
      </c>
      <c r="N66" s="2" t="s">
        <v>1499</v>
      </c>
      <c r="O66" s="10">
        <v>11</v>
      </c>
      <c r="U66" s="45">
        <f t="shared" si="20"/>
        <v>448.79999999999995</v>
      </c>
      <c r="V66" s="45">
        <f t="shared" si="21"/>
        <v>40.8</v>
      </c>
      <c r="X66" s="6">
        <f>3+8/20</f>
        <v>3.4</v>
      </c>
      <c r="AB66" s="45"/>
      <c r="AF66" s="23">
        <f>O66*X66</f>
        <v>37.4</v>
      </c>
      <c r="AG66">
        <v>3</v>
      </c>
      <c r="AH66">
        <v>8</v>
      </c>
      <c r="AI66">
        <v>0</v>
      </c>
      <c r="AJ66" s="23">
        <f t="shared" si="22"/>
        <v>3.4</v>
      </c>
      <c r="BG66" s="23"/>
      <c r="BS66" s="21"/>
      <c r="BW66" s="20">
        <f t="shared" si="23"/>
        <v>448.79999999999995</v>
      </c>
      <c r="BX66" s="20">
        <f t="shared" si="24"/>
        <v>40.8</v>
      </c>
      <c r="CJ66">
        <f t="shared" si="25"/>
        <v>1419</v>
      </c>
      <c r="CK66" s="2" t="s">
        <v>490</v>
      </c>
    </row>
    <row r="67" spans="1:89" ht="12.75">
      <c r="A67" s="15">
        <v>1419</v>
      </c>
      <c r="B67" s="14" t="s">
        <v>1077</v>
      </c>
      <c r="C67" s="14" t="s">
        <v>558</v>
      </c>
      <c r="D67" s="14" t="s">
        <v>256</v>
      </c>
      <c r="E67" s="14" t="s">
        <v>272</v>
      </c>
      <c r="F67" s="2" t="s">
        <v>98</v>
      </c>
      <c r="G67" s="2"/>
      <c r="H67" s="2" t="s">
        <v>428</v>
      </c>
      <c r="I67" s="2" t="s">
        <v>704</v>
      </c>
      <c r="J67" s="14" t="s">
        <v>326</v>
      </c>
      <c r="K67" s="2" t="s">
        <v>456</v>
      </c>
      <c r="L67" s="14" t="s">
        <v>408</v>
      </c>
      <c r="M67" s="14" t="s">
        <v>754</v>
      </c>
      <c r="N67" s="2" t="s">
        <v>570</v>
      </c>
      <c r="O67" s="10">
        <v>2</v>
      </c>
      <c r="U67" s="45">
        <f t="shared" si="20"/>
        <v>120</v>
      </c>
      <c r="V67" s="45">
        <f t="shared" si="21"/>
        <v>60</v>
      </c>
      <c r="X67" s="6">
        <v>5</v>
      </c>
      <c r="AF67" s="23">
        <f>O67*X67</f>
        <v>10</v>
      </c>
      <c r="AG67">
        <v>5</v>
      </c>
      <c r="AH67">
        <v>0</v>
      </c>
      <c r="AI67">
        <v>0</v>
      </c>
      <c r="AJ67" s="23">
        <f t="shared" si="22"/>
        <v>5</v>
      </c>
      <c r="AK67" s="23"/>
      <c r="AX67" s="23">
        <v>5</v>
      </c>
      <c r="AY67" s="19"/>
      <c r="AZ67" s="19"/>
      <c r="BC67" s="23"/>
      <c r="BG67" s="23"/>
      <c r="BP67" s="34"/>
      <c r="BS67" s="21"/>
      <c r="BW67" s="20">
        <f t="shared" si="23"/>
        <v>120</v>
      </c>
      <c r="BX67" s="20">
        <f t="shared" si="24"/>
        <v>60</v>
      </c>
      <c r="CJ67">
        <f t="shared" si="25"/>
        <v>1419</v>
      </c>
      <c r="CK67" s="2" t="s">
        <v>456</v>
      </c>
    </row>
    <row r="68" spans="1:89" ht="12.75">
      <c r="A68" s="15">
        <v>1419</v>
      </c>
      <c r="B68" s="14" t="s">
        <v>1077</v>
      </c>
      <c r="C68" s="14" t="s">
        <v>558</v>
      </c>
      <c r="D68" s="14" t="s">
        <v>256</v>
      </c>
      <c r="E68" s="14" t="s">
        <v>272</v>
      </c>
      <c r="F68" s="2" t="s">
        <v>99</v>
      </c>
      <c r="G68" s="2"/>
      <c r="H68" s="2" t="s">
        <v>612</v>
      </c>
      <c r="I68" s="2" t="s">
        <v>1232</v>
      </c>
      <c r="J68" s="14" t="s">
        <v>326</v>
      </c>
      <c r="K68" s="2" t="s">
        <v>616</v>
      </c>
      <c r="L68" s="14" t="s">
        <v>565</v>
      </c>
      <c r="M68" s="14" t="s">
        <v>1177</v>
      </c>
      <c r="N68" s="2" t="s">
        <v>1368</v>
      </c>
      <c r="O68" s="10">
        <v>1</v>
      </c>
      <c r="U68" s="45">
        <f t="shared" si="20"/>
        <v>31.200000000000003</v>
      </c>
      <c r="V68" s="45">
        <f t="shared" si="21"/>
        <v>31.200000000000003</v>
      </c>
      <c r="X68" s="6">
        <f>2+12/20</f>
        <v>2.6</v>
      </c>
      <c r="AC68">
        <v>2</v>
      </c>
      <c r="AD68">
        <v>12</v>
      </c>
      <c r="AE68">
        <v>0</v>
      </c>
      <c r="AF68" s="23">
        <f>AC68+AD68/20+AE68/240</f>
        <v>2.6</v>
      </c>
      <c r="AG68">
        <v>2</v>
      </c>
      <c r="AH68">
        <v>12</v>
      </c>
      <c r="AI68">
        <v>0</v>
      </c>
      <c r="AJ68" s="23">
        <f t="shared" si="22"/>
        <v>2.6</v>
      </c>
      <c r="AK68" s="23"/>
      <c r="AX68" s="7"/>
      <c r="AY68" s="19"/>
      <c r="AZ68" s="19"/>
      <c r="BC68" s="23"/>
      <c r="BE68" s="23">
        <v>2.6</v>
      </c>
      <c r="BG68" s="23"/>
      <c r="BP68" s="34"/>
      <c r="BS68" s="21"/>
      <c r="BW68" s="20">
        <f t="shared" si="23"/>
        <v>31.200000000000003</v>
      </c>
      <c r="BX68" s="20">
        <f t="shared" si="24"/>
        <v>31.200000000000003</v>
      </c>
      <c r="CJ68">
        <f t="shared" si="25"/>
        <v>1419</v>
      </c>
      <c r="CK68" s="2" t="s">
        <v>616</v>
      </c>
    </row>
    <row r="69" spans="1:89" ht="12.75">
      <c r="A69" s="15">
        <v>1419</v>
      </c>
      <c r="B69" s="14" t="s">
        <v>1077</v>
      </c>
      <c r="C69" s="14" t="s">
        <v>558</v>
      </c>
      <c r="D69" s="14" t="s">
        <v>256</v>
      </c>
      <c r="E69" s="14" t="s">
        <v>272</v>
      </c>
      <c r="F69" s="2" t="s">
        <v>100</v>
      </c>
      <c r="G69" s="2"/>
      <c r="H69" s="2" t="s">
        <v>591</v>
      </c>
      <c r="I69" s="2" t="s">
        <v>390</v>
      </c>
      <c r="J69" s="14" t="s">
        <v>326</v>
      </c>
      <c r="K69" s="2" t="s">
        <v>593</v>
      </c>
      <c r="L69" s="14" t="s">
        <v>585</v>
      </c>
      <c r="M69" s="14" t="s">
        <v>327</v>
      </c>
      <c r="N69" s="2" t="s">
        <v>1467</v>
      </c>
      <c r="O69" s="10">
        <v>1</v>
      </c>
      <c r="U69" s="45">
        <f t="shared" si="20"/>
        <v>31.799999999999997</v>
      </c>
      <c r="V69" s="45">
        <f t="shared" si="21"/>
        <v>31.799999999999997</v>
      </c>
      <c r="X69" s="6">
        <f>2+13/20</f>
        <v>2.65</v>
      </c>
      <c r="AB69" s="45"/>
      <c r="AC69">
        <v>2</v>
      </c>
      <c r="AD69">
        <v>13</v>
      </c>
      <c r="AE69">
        <v>0</v>
      </c>
      <c r="AF69" s="23">
        <f>AC69+AD69/20+AE69/240</f>
        <v>2.65</v>
      </c>
      <c r="AG69">
        <v>2</v>
      </c>
      <c r="AH69">
        <v>13</v>
      </c>
      <c r="AI69">
        <v>0</v>
      </c>
      <c r="AJ69" s="23">
        <f t="shared" si="22"/>
        <v>2.65</v>
      </c>
      <c r="AK69" s="23"/>
      <c r="BB69" s="7"/>
      <c r="BG69" s="23">
        <v>2.65</v>
      </c>
      <c r="BP69" s="34"/>
      <c r="BS69" s="21"/>
      <c r="BW69" s="20">
        <f t="shared" si="23"/>
        <v>31.799999999999997</v>
      </c>
      <c r="BX69" s="20">
        <f t="shared" si="24"/>
        <v>31.799999999999997</v>
      </c>
      <c r="CJ69">
        <f t="shared" si="25"/>
        <v>1419</v>
      </c>
      <c r="CK69" s="2" t="s">
        <v>593</v>
      </c>
    </row>
    <row r="70" spans="1:89" ht="12.75">
      <c r="A70" s="15">
        <v>1419</v>
      </c>
      <c r="B70" s="14" t="s">
        <v>1077</v>
      </c>
      <c r="C70" s="14" t="s">
        <v>558</v>
      </c>
      <c r="D70" s="14" t="s">
        <v>256</v>
      </c>
      <c r="E70" s="14" t="s">
        <v>272</v>
      </c>
      <c r="F70" s="2" t="s">
        <v>101</v>
      </c>
      <c r="G70" s="2"/>
      <c r="H70" s="2" t="s">
        <v>1254</v>
      </c>
      <c r="I70" s="2" t="s">
        <v>515</v>
      </c>
      <c r="J70" s="14" t="s">
        <v>326</v>
      </c>
      <c r="K70" s="2" t="s">
        <v>1257</v>
      </c>
      <c r="L70" s="14" t="s">
        <v>1226</v>
      </c>
      <c r="M70" s="14" t="s">
        <v>347</v>
      </c>
      <c r="N70" s="2" t="s">
        <v>1478</v>
      </c>
      <c r="O70" s="10">
        <v>1</v>
      </c>
      <c r="U70" s="45">
        <f t="shared" si="20"/>
        <v>26.400000000000002</v>
      </c>
      <c r="V70" s="45">
        <f t="shared" si="21"/>
        <v>26.400000000000002</v>
      </c>
      <c r="X70" s="6">
        <f>2+4/20</f>
        <v>2.2</v>
      </c>
      <c r="AB70" s="45"/>
      <c r="AC70">
        <v>2</v>
      </c>
      <c r="AD70">
        <v>4</v>
      </c>
      <c r="AE70">
        <v>0</v>
      </c>
      <c r="AF70" s="23">
        <f>AC70+AD70/20+AE70/240</f>
        <v>2.2</v>
      </c>
      <c r="AG70">
        <v>2</v>
      </c>
      <c r="AH70">
        <v>4</v>
      </c>
      <c r="AI70">
        <v>0</v>
      </c>
      <c r="AJ70" s="23">
        <f t="shared" si="22"/>
        <v>2.2</v>
      </c>
      <c r="AK70" s="23"/>
      <c r="BB70" s="7"/>
      <c r="BD70" s="23"/>
      <c r="BG70" s="23">
        <v>2.2</v>
      </c>
      <c r="BP70" s="34"/>
      <c r="BS70" s="21"/>
      <c r="BW70" s="20">
        <f t="shared" si="23"/>
        <v>26.400000000000002</v>
      </c>
      <c r="BX70" s="20">
        <f t="shared" si="24"/>
        <v>26.400000000000002</v>
      </c>
      <c r="CJ70">
        <f t="shared" si="25"/>
        <v>1419</v>
      </c>
      <c r="CK70" s="2" t="s">
        <v>1257</v>
      </c>
    </row>
    <row r="71" spans="1:89" ht="12.75">
      <c r="A71" s="15">
        <v>1419</v>
      </c>
      <c r="B71" s="14" t="s">
        <v>1077</v>
      </c>
      <c r="C71" s="14" t="s">
        <v>558</v>
      </c>
      <c r="D71" s="14" t="s">
        <v>256</v>
      </c>
      <c r="E71" s="14" t="s">
        <v>272</v>
      </c>
      <c r="F71" s="2" t="s">
        <v>102</v>
      </c>
      <c r="G71" s="2"/>
      <c r="H71" s="2" t="s">
        <v>591</v>
      </c>
      <c r="I71" s="2" t="s">
        <v>388</v>
      </c>
      <c r="J71" s="14" t="s">
        <v>326</v>
      </c>
      <c r="K71" s="2" t="s">
        <v>595</v>
      </c>
      <c r="L71" s="14" t="s">
        <v>585</v>
      </c>
      <c r="M71" s="14" t="s">
        <v>334</v>
      </c>
      <c r="N71" s="2" t="s">
        <v>762</v>
      </c>
      <c r="O71" s="10">
        <v>1</v>
      </c>
      <c r="U71" s="45">
        <f t="shared" si="20"/>
        <v>17.7</v>
      </c>
      <c r="V71" s="45">
        <f t="shared" si="21"/>
        <v>17.7</v>
      </c>
      <c r="X71" s="6">
        <f>1+9/20+6/240</f>
        <v>1.4749999999999999</v>
      </c>
      <c r="AB71" s="45"/>
      <c r="AC71">
        <v>1</v>
      </c>
      <c r="AD71">
        <v>9</v>
      </c>
      <c r="AE71">
        <v>6</v>
      </c>
      <c r="AF71" s="23">
        <f>AC71+AD71/20+AE71/240</f>
        <v>1.4749999999999999</v>
      </c>
      <c r="AG71">
        <v>1</v>
      </c>
      <c r="AH71">
        <v>9</v>
      </c>
      <c r="AI71">
        <v>6</v>
      </c>
      <c r="AJ71" s="23">
        <f t="shared" si="22"/>
        <v>1.4749999999999999</v>
      </c>
      <c r="AK71" s="23"/>
      <c r="BB71" s="7"/>
      <c r="BD71" s="23"/>
      <c r="BG71" s="23">
        <v>1.475</v>
      </c>
      <c r="BP71" s="34"/>
      <c r="BS71" s="21"/>
      <c r="BW71" s="20">
        <f t="shared" si="23"/>
        <v>17.7</v>
      </c>
      <c r="BX71" s="20">
        <f t="shared" si="24"/>
        <v>17.7</v>
      </c>
      <c r="CJ71">
        <f t="shared" si="25"/>
        <v>1419</v>
      </c>
      <c r="CK71" s="2" t="s">
        <v>595</v>
      </c>
    </row>
    <row r="72" spans="1:89" ht="12.75">
      <c r="A72" s="15">
        <v>1419</v>
      </c>
      <c r="B72" s="14" t="s">
        <v>1077</v>
      </c>
      <c r="C72" s="14" t="s">
        <v>558</v>
      </c>
      <c r="D72" s="14" t="s">
        <v>256</v>
      </c>
      <c r="E72" s="14" t="s">
        <v>272</v>
      </c>
      <c r="F72" s="2" t="s">
        <v>103</v>
      </c>
      <c r="G72" s="2"/>
      <c r="H72" s="2" t="s">
        <v>428</v>
      </c>
      <c r="I72" s="2" t="s">
        <v>1215</v>
      </c>
      <c r="J72" s="14" t="s">
        <v>326</v>
      </c>
      <c r="K72" s="2" t="s">
        <v>490</v>
      </c>
      <c r="L72" s="14" t="s">
        <v>410</v>
      </c>
      <c r="M72" s="14" t="s">
        <v>1177</v>
      </c>
      <c r="N72" s="2" t="s">
        <v>1311</v>
      </c>
      <c r="O72" s="10">
        <v>2</v>
      </c>
      <c r="U72" s="45">
        <f t="shared" si="20"/>
        <v>81.6</v>
      </c>
      <c r="V72" s="45">
        <f t="shared" si="21"/>
        <v>40.8</v>
      </c>
      <c r="X72" s="6">
        <f>3+8/20</f>
        <v>3.4</v>
      </c>
      <c r="AB72" s="45"/>
      <c r="AF72" s="23">
        <f>O72*X72</f>
        <v>6.8</v>
      </c>
      <c r="AG72">
        <v>3</v>
      </c>
      <c r="AH72">
        <v>8</v>
      </c>
      <c r="AI72">
        <v>0</v>
      </c>
      <c r="AJ72" s="23">
        <f t="shared" si="22"/>
        <v>3.4</v>
      </c>
      <c r="AK72" s="23"/>
      <c r="BB72" s="23">
        <v>3.4</v>
      </c>
      <c r="BC72" s="23"/>
      <c r="BD72" s="23"/>
      <c r="BG72" s="7"/>
      <c r="BP72" s="34"/>
      <c r="BS72" s="21"/>
      <c r="BW72" s="20">
        <f t="shared" si="23"/>
        <v>81.6</v>
      </c>
      <c r="BX72" s="20">
        <f t="shared" si="24"/>
        <v>40.8</v>
      </c>
      <c r="CJ72">
        <f t="shared" si="25"/>
        <v>1419</v>
      </c>
      <c r="CK72" s="2" t="s">
        <v>490</v>
      </c>
    </row>
    <row r="73" spans="1:89" ht="12.75">
      <c r="A73" s="15"/>
      <c r="E73" s="14"/>
      <c r="F73" s="2"/>
      <c r="G73" s="2"/>
      <c r="K73" s="2"/>
      <c r="U73" s="45"/>
      <c r="V73" s="45"/>
      <c r="X73" s="6"/>
      <c r="AB73" s="45"/>
      <c r="AK73" s="23"/>
      <c r="BC73" s="23"/>
      <c r="BG73" s="7"/>
      <c r="BP73" s="34"/>
      <c r="BS73" s="21"/>
      <c r="CK73" s="2"/>
    </row>
    <row r="74" spans="1:90" ht="12.75">
      <c r="A74" s="15">
        <v>1420</v>
      </c>
      <c r="B74" s="14" t="s">
        <v>952</v>
      </c>
      <c r="C74" s="14" t="s">
        <v>558</v>
      </c>
      <c r="D74" s="14" t="s">
        <v>256</v>
      </c>
      <c r="E74" s="14" t="s">
        <v>275</v>
      </c>
      <c r="F74" s="2" t="s">
        <v>104</v>
      </c>
      <c r="G74" s="2">
        <v>1</v>
      </c>
      <c r="H74" s="2" t="s">
        <v>1547</v>
      </c>
      <c r="I74" s="2" t="s">
        <v>720</v>
      </c>
      <c r="J74" s="14" t="s">
        <v>326</v>
      </c>
      <c r="K74" s="2" t="s">
        <v>1550</v>
      </c>
      <c r="L74" s="14" t="s">
        <v>1281</v>
      </c>
      <c r="M74" s="14" t="s">
        <v>1183</v>
      </c>
      <c r="N74" s="2" t="s">
        <v>537</v>
      </c>
      <c r="O74" s="10">
        <v>11</v>
      </c>
      <c r="U74" s="45">
        <f aca="true" t="shared" si="26" ref="U74:U79">O74*V74</f>
        <v>1188</v>
      </c>
      <c r="V74" s="45">
        <f aca="true" t="shared" si="27" ref="V74:V79">12*X74</f>
        <v>108</v>
      </c>
      <c r="X74" s="6">
        <v>9</v>
      </c>
      <c r="AB74" s="45"/>
      <c r="AC74">
        <v>99</v>
      </c>
      <c r="AD74">
        <v>0</v>
      </c>
      <c r="AE74">
        <v>0</v>
      </c>
      <c r="AF74" s="23">
        <f>AC74+AD74/20+AE74/240</f>
        <v>99</v>
      </c>
      <c r="AG74">
        <v>9</v>
      </c>
      <c r="AH74">
        <v>0</v>
      </c>
      <c r="AI74">
        <v>0</v>
      </c>
      <c r="AJ74" s="23">
        <f aca="true" t="shared" si="28" ref="AJ74:AJ79">X74*1</f>
        <v>9</v>
      </c>
      <c r="AK74" s="23"/>
      <c r="AX74" s="23">
        <v>9</v>
      </c>
      <c r="BG74" s="7"/>
      <c r="BP74" s="34"/>
      <c r="BS74" s="21"/>
      <c r="BW74" s="20">
        <f aca="true" t="shared" si="29" ref="BW74:BW79">U74+(BO74*12*O74)+BT74</f>
        <v>1188</v>
      </c>
      <c r="BX74" s="20">
        <f aca="true" t="shared" si="30" ref="BX74:BX79">BW74/O74</f>
        <v>108</v>
      </c>
      <c r="CJ74">
        <f aca="true" t="shared" si="31" ref="CJ74:CJ79">A74*1</f>
        <v>1420</v>
      </c>
      <c r="CK74" s="2" t="s">
        <v>1550</v>
      </c>
      <c r="CL74" t="s">
        <v>1010</v>
      </c>
    </row>
    <row r="75" spans="1:90" ht="12.75">
      <c r="A75" s="15">
        <v>1420</v>
      </c>
      <c r="B75" s="14" t="s">
        <v>952</v>
      </c>
      <c r="C75" s="14" t="s">
        <v>558</v>
      </c>
      <c r="D75" s="14" t="s">
        <v>256</v>
      </c>
      <c r="E75" s="14" t="s">
        <v>275</v>
      </c>
      <c r="F75" s="2" t="s">
        <v>105</v>
      </c>
      <c r="G75" s="2">
        <v>1</v>
      </c>
      <c r="H75" s="2" t="s">
        <v>428</v>
      </c>
      <c r="I75" s="2" t="s">
        <v>698</v>
      </c>
      <c r="J75" s="14" t="s">
        <v>326</v>
      </c>
      <c r="K75" s="2" t="s">
        <v>452</v>
      </c>
      <c r="L75" s="14" t="s">
        <v>410</v>
      </c>
      <c r="M75" s="14" t="s">
        <v>347</v>
      </c>
      <c r="N75" s="2" t="s">
        <v>534</v>
      </c>
      <c r="O75" s="10">
        <v>11</v>
      </c>
      <c r="U75" s="45">
        <f t="shared" si="26"/>
        <v>1056</v>
      </c>
      <c r="V75" s="45">
        <f t="shared" si="27"/>
        <v>96</v>
      </c>
      <c r="W75" s="23">
        <f>(V75*20)/33</f>
        <v>58.18181818181818</v>
      </c>
      <c r="X75" s="6">
        <v>8</v>
      </c>
      <c r="AB75" s="45"/>
      <c r="AC75">
        <v>77</v>
      </c>
      <c r="AD75">
        <v>0</v>
      </c>
      <c r="AE75">
        <v>0</v>
      </c>
      <c r="AF75" s="23">
        <f>AC75+AD75/20+AE75/240</f>
        <v>77</v>
      </c>
      <c r="AG75">
        <v>7</v>
      </c>
      <c r="AH75">
        <v>0</v>
      </c>
      <c r="AI75">
        <v>0</v>
      </c>
      <c r="AJ75" s="23">
        <f t="shared" si="28"/>
        <v>8</v>
      </c>
      <c r="AK75" s="23">
        <f>W75/12</f>
        <v>4.848484848484849</v>
      </c>
      <c r="BD75" s="23"/>
      <c r="BG75" s="7"/>
      <c r="BP75" s="34"/>
      <c r="BS75" s="21"/>
      <c r="BW75" s="20">
        <f t="shared" si="29"/>
        <v>1056</v>
      </c>
      <c r="BX75" s="20">
        <f t="shared" si="30"/>
        <v>96</v>
      </c>
      <c r="CJ75">
        <f t="shared" si="31"/>
        <v>1420</v>
      </c>
      <c r="CK75" s="2" t="s">
        <v>451</v>
      </c>
      <c r="CL75" t="s">
        <v>1026</v>
      </c>
    </row>
    <row r="76" spans="1:90" ht="12.75">
      <c r="A76" s="15">
        <v>1420</v>
      </c>
      <c r="B76" s="14" t="s">
        <v>952</v>
      </c>
      <c r="C76" s="14" t="s">
        <v>558</v>
      </c>
      <c r="D76" s="14" t="s">
        <v>256</v>
      </c>
      <c r="E76" s="14" t="s">
        <v>275</v>
      </c>
      <c r="F76" s="2" t="s">
        <v>106</v>
      </c>
      <c r="G76" s="2">
        <v>1</v>
      </c>
      <c r="H76" s="2" t="s">
        <v>3</v>
      </c>
      <c r="I76" s="2" t="s">
        <v>732</v>
      </c>
      <c r="J76" s="14" t="s">
        <v>326</v>
      </c>
      <c r="K76" s="2" t="s">
        <v>724</v>
      </c>
      <c r="L76" s="14" t="s">
        <v>1422</v>
      </c>
      <c r="M76" s="14" t="s">
        <v>1460</v>
      </c>
      <c r="N76" s="2" t="s">
        <v>1499</v>
      </c>
      <c r="O76" s="10">
        <v>11</v>
      </c>
      <c r="U76" s="45">
        <f t="shared" si="26"/>
        <v>594</v>
      </c>
      <c r="V76" s="45">
        <f t="shared" si="27"/>
        <v>54</v>
      </c>
      <c r="W76" s="23">
        <f>(V76*20)/36</f>
        <v>30</v>
      </c>
      <c r="X76" s="6">
        <f>4+10/20</f>
        <v>4.5</v>
      </c>
      <c r="AB76" s="45"/>
      <c r="AF76" s="23">
        <f>O76*X76</f>
        <v>49.5</v>
      </c>
      <c r="AG76">
        <v>4</v>
      </c>
      <c r="AH76">
        <v>10</v>
      </c>
      <c r="AI76">
        <v>0</v>
      </c>
      <c r="AJ76" s="23">
        <f t="shared" si="28"/>
        <v>4.5</v>
      </c>
      <c r="AK76" s="23">
        <f>W76/12</f>
        <v>2.5</v>
      </c>
      <c r="BP76" s="34"/>
      <c r="BS76" s="21"/>
      <c r="BW76" s="20">
        <f t="shared" si="29"/>
        <v>594</v>
      </c>
      <c r="BX76" s="20">
        <f t="shared" si="30"/>
        <v>54</v>
      </c>
      <c r="CJ76">
        <f t="shared" si="31"/>
        <v>1420</v>
      </c>
      <c r="CK76" s="2" t="s">
        <v>723</v>
      </c>
      <c r="CL76" t="s">
        <v>1028</v>
      </c>
    </row>
    <row r="77" spans="1:89" ht="12.75">
      <c r="A77" s="15">
        <v>1420</v>
      </c>
      <c r="B77" s="14" t="s">
        <v>952</v>
      </c>
      <c r="C77" s="14" t="s">
        <v>558</v>
      </c>
      <c r="D77" s="14" t="s">
        <v>256</v>
      </c>
      <c r="E77" s="14" t="s">
        <v>275</v>
      </c>
      <c r="F77" s="2" t="s">
        <v>108</v>
      </c>
      <c r="G77" s="2">
        <v>1</v>
      </c>
      <c r="H77" s="2" t="s">
        <v>428</v>
      </c>
      <c r="I77" s="2" t="s">
        <v>829</v>
      </c>
      <c r="J77" s="14" t="s">
        <v>326</v>
      </c>
      <c r="K77" s="2" t="s">
        <v>475</v>
      </c>
      <c r="L77" s="14" t="s">
        <v>408</v>
      </c>
      <c r="M77" s="14" t="s">
        <v>751</v>
      </c>
      <c r="N77" s="2" t="s">
        <v>567</v>
      </c>
      <c r="O77" s="10">
        <v>1</v>
      </c>
      <c r="U77" s="45">
        <f t="shared" si="26"/>
        <v>64.80000000000001</v>
      </c>
      <c r="V77" s="45">
        <f t="shared" si="27"/>
        <v>64.80000000000001</v>
      </c>
      <c r="X77" s="6">
        <f>5+8/20</f>
        <v>5.4</v>
      </c>
      <c r="AB77" s="45"/>
      <c r="AC77">
        <v>5</v>
      </c>
      <c r="AD77">
        <v>8</v>
      </c>
      <c r="AE77">
        <v>0</v>
      </c>
      <c r="AF77" s="23">
        <f>AC77+AD77/20+AE77/240</f>
        <v>5.4</v>
      </c>
      <c r="AG77">
        <v>5</v>
      </c>
      <c r="AH77">
        <v>8</v>
      </c>
      <c r="AI77">
        <v>0</v>
      </c>
      <c r="AJ77" s="23">
        <f t="shared" si="28"/>
        <v>5.4</v>
      </c>
      <c r="AK77" s="23"/>
      <c r="AX77" s="23">
        <v>5.4</v>
      </c>
      <c r="BD77" s="23"/>
      <c r="BG77" s="7"/>
      <c r="BP77" s="34"/>
      <c r="BS77" s="21"/>
      <c r="BW77" s="20">
        <f t="shared" si="29"/>
        <v>64.80000000000001</v>
      </c>
      <c r="BX77" s="20">
        <f t="shared" si="30"/>
        <v>64.80000000000001</v>
      </c>
      <c r="CJ77">
        <f t="shared" si="31"/>
        <v>1420</v>
      </c>
      <c r="CK77" s="2" t="s">
        <v>475</v>
      </c>
    </row>
    <row r="78" spans="1:89" ht="12.75">
      <c r="A78" s="15">
        <v>1420</v>
      </c>
      <c r="B78" s="14" t="s">
        <v>952</v>
      </c>
      <c r="C78" s="14" t="s">
        <v>558</v>
      </c>
      <c r="D78" s="14" t="s">
        <v>256</v>
      </c>
      <c r="E78" s="14" t="s">
        <v>275</v>
      </c>
      <c r="F78" s="2" t="s">
        <v>109</v>
      </c>
      <c r="G78" s="2">
        <v>1</v>
      </c>
      <c r="H78" s="2" t="s">
        <v>428</v>
      </c>
      <c r="I78" s="2" t="s">
        <v>664</v>
      </c>
      <c r="J78" s="14" t="s">
        <v>326</v>
      </c>
      <c r="K78" s="2" t="s">
        <v>446</v>
      </c>
      <c r="L78" s="14" t="s">
        <v>410</v>
      </c>
      <c r="M78" s="14" t="s">
        <v>753</v>
      </c>
      <c r="N78" s="2" t="s">
        <v>287</v>
      </c>
      <c r="O78" s="10">
        <v>1</v>
      </c>
      <c r="U78" s="45">
        <f t="shared" si="26"/>
        <v>40.2</v>
      </c>
      <c r="V78" s="45">
        <f t="shared" si="27"/>
        <v>40.2</v>
      </c>
      <c r="X78" s="6">
        <f>3+7/20</f>
        <v>3.35</v>
      </c>
      <c r="AB78" s="45"/>
      <c r="AC78">
        <v>3</v>
      </c>
      <c r="AD78">
        <v>7</v>
      </c>
      <c r="AE78">
        <v>0</v>
      </c>
      <c r="AF78" s="23">
        <f>AC78+AD78/20+AE78/240</f>
        <v>3.35</v>
      </c>
      <c r="AG78">
        <v>3</v>
      </c>
      <c r="AH78">
        <v>7</v>
      </c>
      <c r="AI78">
        <v>0</v>
      </c>
      <c r="AJ78" s="23">
        <f t="shared" si="28"/>
        <v>3.35</v>
      </c>
      <c r="BB78" s="23">
        <v>3.35</v>
      </c>
      <c r="BG78" s="7"/>
      <c r="BP78" s="34"/>
      <c r="BS78" s="21"/>
      <c r="BW78" s="20">
        <f t="shared" si="29"/>
        <v>40.2</v>
      </c>
      <c r="BX78" s="20">
        <f t="shared" si="30"/>
        <v>40.2</v>
      </c>
      <c r="CJ78">
        <f t="shared" si="31"/>
        <v>1420</v>
      </c>
      <c r="CK78" s="2" t="s">
        <v>446</v>
      </c>
    </row>
    <row r="79" spans="1:89" ht="12.75">
      <c r="A79" s="15">
        <v>1420</v>
      </c>
      <c r="B79" s="14" t="s">
        <v>952</v>
      </c>
      <c r="C79" s="14" t="s">
        <v>558</v>
      </c>
      <c r="D79" s="14" t="s">
        <v>256</v>
      </c>
      <c r="E79" s="14" t="s">
        <v>275</v>
      </c>
      <c r="F79" s="2" t="s">
        <v>110</v>
      </c>
      <c r="G79" s="2">
        <v>1</v>
      </c>
      <c r="H79" s="2" t="s">
        <v>428</v>
      </c>
      <c r="I79" s="2" t="s">
        <v>1228</v>
      </c>
      <c r="J79" s="14" t="s">
        <v>326</v>
      </c>
      <c r="K79" s="2" t="s">
        <v>490</v>
      </c>
      <c r="L79" s="14" t="s">
        <v>410</v>
      </c>
      <c r="M79" s="14" t="s">
        <v>1177</v>
      </c>
      <c r="N79" s="2" t="s">
        <v>636</v>
      </c>
      <c r="O79" s="10">
        <v>1</v>
      </c>
      <c r="U79" s="45">
        <f t="shared" si="26"/>
        <v>39.599999999999994</v>
      </c>
      <c r="V79" s="45">
        <f t="shared" si="27"/>
        <v>39.599999999999994</v>
      </c>
      <c r="X79" s="6">
        <f>3+6/20</f>
        <v>3.3</v>
      </c>
      <c r="AC79">
        <v>3</v>
      </c>
      <c r="AD79">
        <v>6</v>
      </c>
      <c r="AE79">
        <v>0</v>
      </c>
      <c r="AF79" s="23">
        <f>AC79+AD79/20+AE79/240</f>
        <v>3.3</v>
      </c>
      <c r="AG79">
        <v>3</v>
      </c>
      <c r="AH79">
        <v>6</v>
      </c>
      <c r="AI79">
        <v>0</v>
      </c>
      <c r="AJ79" s="23">
        <f t="shared" si="28"/>
        <v>3.3</v>
      </c>
      <c r="AK79" s="23"/>
      <c r="AU79" s="7"/>
      <c r="AV79" s="23"/>
      <c r="AX79" s="23">
        <v>3.3</v>
      </c>
      <c r="BP79" s="34"/>
      <c r="BS79" s="21"/>
      <c r="BW79" s="20">
        <f t="shared" si="29"/>
        <v>39.599999999999994</v>
      </c>
      <c r="BX79" s="20">
        <f t="shared" si="30"/>
        <v>39.599999999999994</v>
      </c>
      <c r="CJ79">
        <f t="shared" si="31"/>
        <v>1420</v>
      </c>
      <c r="CK79" s="2" t="s">
        <v>490</v>
      </c>
    </row>
    <row r="80" spans="1:89" ht="12.75">
      <c r="A80" s="15"/>
      <c r="E80" s="14"/>
      <c r="F80" s="2"/>
      <c r="G80" s="2"/>
      <c r="K80" s="2"/>
      <c r="U80" s="45"/>
      <c r="V80" s="45"/>
      <c r="X80" s="6"/>
      <c r="AF80" s="23"/>
      <c r="AJ80" s="23"/>
      <c r="AK80" s="23"/>
      <c r="AU80" s="7"/>
      <c r="AV80" s="23"/>
      <c r="BG80" s="23"/>
      <c r="BP80" s="34"/>
      <c r="BS80" s="21"/>
      <c r="CK80" s="2"/>
    </row>
    <row r="81" spans="1:89" ht="12.75">
      <c r="A81" s="15">
        <v>1420</v>
      </c>
      <c r="B81" s="14" t="s">
        <v>952</v>
      </c>
      <c r="C81" s="14" t="s">
        <v>558</v>
      </c>
      <c r="D81" s="14" t="s">
        <v>256</v>
      </c>
      <c r="E81" s="14" t="s">
        <v>275</v>
      </c>
      <c r="F81" s="2" t="s">
        <v>111</v>
      </c>
      <c r="G81" s="2">
        <v>2</v>
      </c>
      <c r="H81" s="2" t="s">
        <v>647</v>
      </c>
      <c r="I81" s="2" t="s">
        <v>379</v>
      </c>
      <c r="J81" s="14" t="s">
        <v>326</v>
      </c>
      <c r="K81" s="2" t="s">
        <v>649</v>
      </c>
      <c r="L81" s="14" t="s">
        <v>639</v>
      </c>
      <c r="M81" s="14" t="s">
        <v>327</v>
      </c>
      <c r="N81" s="2" t="s">
        <v>1361</v>
      </c>
      <c r="O81" s="10">
        <v>1</v>
      </c>
      <c r="U81" s="45">
        <f>O81*V81</f>
        <v>35.95</v>
      </c>
      <c r="V81" s="45">
        <f aca="true" t="shared" si="32" ref="V81:V86">12*X81</f>
        <v>35.95</v>
      </c>
      <c r="X81" s="6">
        <f>2+19/20+11/240</f>
        <v>2.9958333333333336</v>
      </c>
      <c r="AC81">
        <v>2</v>
      </c>
      <c r="AD81">
        <v>19</v>
      </c>
      <c r="AE81">
        <v>11</v>
      </c>
      <c r="AF81" s="23">
        <f>AC81+AD81/20+AE81/240</f>
        <v>2.9958333333333336</v>
      </c>
      <c r="AG81">
        <v>2</v>
      </c>
      <c r="AH81">
        <v>19</v>
      </c>
      <c r="AI81">
        <v>11</v>
      </c>
      <c r="AJ81" s="23">
        <f aca="true" t="shared" si="33" ref="AJ81:AJ86">X81*1</f>
        <v>2.9958333333333336</v>
      </c>
      <c r="AK81" s="23"/>
      <c r="BE81" s="23">
        <v>2.995833333333333</v>
      </c>
      <c r="BG81" s="23"/>
      <c r="BS81" s="21"/>
      <c r="BW81" s="20">
        <f>U81+(BO81*12*O81)+BT81</f>
        <v>35.95</v>
      </c>
      <c r="BX81" s="20">
        <f>BW81/O81</f>
        <v>35.95</v>
      </c>
      <c r="CJ81">
        <f aca="true" t="shared" si="34" ref="CJ81:CJ86">A81*1</f>
        <v>1420</v>
      </c>
      <c r="CK81" s="2" t="s">
        <v>649</v>
      </c>
    </row>
    <row r="82" spans="1:89" ht="12.75">
      <c r="A82" s="15">
        <v>1420</v>
      </c>
      <c r="B82" s="14" t="s">
        <v>952</v>
      </c>
      <c r="C82" s="14" t="s">
        <v>558</v>
      </c>
      <c r="D82" s="14" t="s">
        <v>256</v>
      </c>
      <c r="E82" s="14" t="s">
        <v>275</v>
      </c>
      <c r="F82" s="2" t="s">
        <v>112</v>
      </c>
      <c r="G82" s="2">
        <v>2</v>
      </c>
      <c r="H82" s="2" t="s">
        <v>647</v>
      </c>
      <c r="I82" s="2" t="s">
        <v>842</v>
      </c>
      <c r="J82" s="14" t="s">
        <v>326</v>
      </c>
      <c r="K82" s="2" t="s">
        <v>651</v>
      </c>
      <c r="L82" s="14" t="s">
        <v>639</v>
      </c>
      <c r="M82" s="14" t="s">
        <v>745</v>
      </c>
      <c r="N82" s="2" t="s">
        <v>1478</v>
      </c>
      <c r="O82" s="10">
        <v>1</v>
      </c>
      <c r="U82" s="45">
        <f>O82*V82</f>
        <v>34.35</v>
      </c>
      <c r="V82" s="45">
        <f t="shared" si="32"/>
        <v>34.35</v>
      </c>
      <c r="X82" s="6">
        <f>2+17/20+3/240</f>
        <v>2.8625000000000003</v>
      </c>
      <c r="AC82">
        <v>2</v>
      </c>
      <c r="AD82">
        <v>17</v>
      </c>
      <c r="AE82">
        <v>3</v>
      </c>
      <c r="AF82" s="23">
        <f>AC82+AD82/20+AE82/240</f>
        <v>2.8625000000000003</v>
      </c>
      <c r="AG82">
        <v>2</v>
      </c>
      <c r="AH82">
        <v>17</v>
      </c>
      <c r="AI82">
        <v>3</v>
      </c>
      <c r="AJ82" s="23">
        <f t="shared" si="33"/>
        <v>2.8625000000000003</v>
      </c>
      <c r="AK82" s="23"/>
      <c r="AY82" s="23"/>
      <c r="AZ82" s="19"/>
      <c r="BG82" s="23">
        <v>2.8625</v>
      </c>
      <c r="BP82" s="34"/>
      <c r="BS82" s="21"/>
      <c r="BW82" s="20">
        <f>U82+(BO82*12*O82)+BT82</f>
        <v>34.35</v>
      </c>
      <c r="BX82" s="20">
        <f>BW82/O82</f>
        <v>34.35</v>
      </c>
      <c r="CJ82">
        <f t="shared" si="34"/>
        <v>1420</v>
      </c>
      <c r="CK82" s="2" t="s">
        <v>651</v>
      </c>
    </row>
    <row r="83" spans="1:89" ht="12.75">
      <c r="A83" s="15">
        <v>1420</v>
      </c>
      <c r="B83" s="14" t="s">
        <v>952</v>
      </c>
      <c r="C83" s="14" t="s">
        <v>558</v>
      </c>
      <c r="D83" s="14" t="s">
        <v>256</v>
      </c>
      <c r="E83" s="14" t="s">
        <v>275</v>
      </c>
      <c r="F83" s="2" t="s">
        <v>113</v>
      </c>
      <c r="G83" s="2">
        <v>2</v>
      </c>
      <c r="H83" s="2" t="s">
        <v>591</v>
      </c>
      <c r="I83" s="2" t="s">
        <v>841</v>
      </c>
      <c r="J83" s="14" t="s">
        <v>326</v>
      </c>
      <c r="K83" s="2" t="s">
        <v>600</v>
      </c>
      <c r="L83" s="14" t="s">
        <v>585</v>
      </c>
      <c r="M83" s="14" t="s">
        <v>745</v>
      </c>
      <c r="N83" s="2" t="s">
        <v>765</v>
      </c>
      <c r="O83" s="10">
        <v>1</v>
      </c>
      <c r="U83" s="45">
        <f>O83*V83</f>
        <v>18.6</v>
      </c>
      <c r="V83" s="45">
        <f t="shared" si="32"/>
        <v>18.6</v>
      </c>
      <c r="X83" s="6">
        <f>1+11/20</f>
        <v>1.55</v>
      </c>
      <c r="AC83">
        <v>1</v>
      </c>
      <c r="AD83">
        <v>11</v>
      </c>
      <c r="AE83">
        <v>0</v>
      </c>
      <c r="AF83" s="23">
        <f>AC83+AD83/20+AE83/240</f>
        <v>1.55</v>
      </c>
      <c r="AG83">
        <v>1</v>
      </c>
      <c r="AH83">
        <v>11</v>
      </c>
      <c r="AI83">
        <v>0</v>
      </c>
      <c r="AJ83" s="23">
        <f t="shared" si="33"/>
        <v>1.55</v>
      </c>
      <c r="AK83" s="23"/>
      <c r="AY83" s="19"/>
      <c r="AZ83" s="7"/>
      <c r="BG83" s="23">
        <v>1.55</v>
      </c>
      <c r="BP83" s="34"/>
      <c r="BS83" s="21"/>
      <c r="BW83" s="20">
        <f>U83+(BO83*12*O83)+BT83</f>
        <v>18.6</v>
      </c>
      <c r="BX83" s="20">
        <f>BW83/O83</f>
        <v>18.6</v>
      </c>
      <c r="CJ83">
        <f t="shared" si="34"/>
        <v>1420</v>
      </c>
      <c r="CK83" s="2" t="s">
        <v>600</v>
      </c>
    </row>
    <row r="84" spans="1:90" ht="12.75">
      <c r="A84" s="15">
        <v>1420</v>
      </c>
      <c r="B84" s="14" t="s">
        <v>952</v>
      </c>
      <c r="C84" s="14" t="s">
        <v>558</v>
      </c>
      <c r="D84" s="14" t="s">
        <v>256</v>
      </c>
      <c r="E84" s="14" t="s">
        <v>275</v>
      </c>
      <c r="F84" s="2" t="s">
        <v>114</v>
      </c>
      <c r="G84" s="2">
        <v>2</v>
      </c>
      <c r="H84" s="2" t="s">
        <v>591</v>
      </c>
      <c r="I84" s="2" t="s">
        <v>522</v>
      </c>
      <c r="J84" s="14" t="s">
        <v>326</v>
      </c>
      <c r="K84" s="2" t="s">
        <v>596</v>
      </c>
      <c r="L84" s="14" t="s">
        <v>585</v>
      </c>
      <c r="M84" s="14" t="s">
        <v>348</v>
      </c>
      <c r="N84" s="2" t="s">
        <v>249</v>
      </c>
      <c r="O84" s="10" t="s">
        <v>3</v>
      </c>
      <c r="U84" s="45"/>
      <c r="V84" s="45">
        <f t="shared" si="32"/>
        <v>17.4</v>
      </c>
      <c r="X84" s="6">
        <f>1+9/20</f>
        <v>1.45</v>
      </c>
      <c r="AB84" s="45"/>
      <c r="AG84">
        <v>1</v>
      </c>
      <c r="AH84">
        <v>9</v>
      </c>
      <c r="AI84">
        <v>0</v>
      </c>
      <c r="AJ84" s="23">
        <f t="shared" si="33"/>
        <v>1.45</v>
      </c>
      <c r="AX84" s="23"/>
      <c r="BB84" s="7"/>
      <c r="BG84" s="23">
        <v>1.45</v>
      </c>
      <c r="BP84" s="34"/>
      <c r="BS84" s="21"/>
      <c r="BW84" s="20"/>
      <c r="BX84" s="20">
        <f>1*V84</f>
        <v>17.4</v>
      </c>
      <c r="CJ84">
        <f t="shared" si="34"/>
        <v>1420</v>
      </c>
      <c r="CK84" s="2" t="s">
        <v>596</v>
      </c>
      <c r="CL84" t="s">
        <v>1049</v>
      </c>
    </row>
    <row r="85" spans="1:89" ht="12.75">
      <c r="A85" s="15">
        <v>1420</v>
      </c>
      <c r="B85" s="14" t="s">
        <v>952</v>
      </c>
      <c r="C85" s="14" t="s">
        <v>558</v>
      </c>
      <c r="D85" s="14" t="s">
        <v>256</v>
      </c>
      <c r="E85" s="14" t="s">
        <v>275</v>
      </c>
      <c r="F85" s="2" t="s">
        <v>115</v>
      </c>
      <c r="G85" s="2">
        <v>2</v>
      </c>
      <c r="H85" s="2" t="s">
        <v>591</v>
      </c>
      <c r="I85" s="2" t="s">
        <v>1229</v>
      </c>
      <c r="J85" s="14" t="s">
        <v>326</v>
      </c>
      <c r="K85" s="2" t="s">
        <v>603</v>
      </c>
      <c r="L85" s="14" t="s">
        <v>585</v>
      </c>
      <c r="M85" s="14" t="s">
        <v>1177</v>
      </c>
      <c r="N85" s="2" t="s">
        <v>810</v>
      </c>
      <c r="O85" s="10">
        <v>1</v>
      </c>
      <c r="U85" s="45">
        <f>O85*V85</f>
        <v>16.200000000000003</v>
      </c>
      <c r="V85" s="45">
        <f t="shared" si="32"/>
        <v>16.200000000000003</v>
      </c>
      <c r="X85" s="6">
        <f>1+7/20</f>
        <v>1.35</v>
      </c>
      <c r="AB85" s="45"/>
      <c r="AC85">
        <v>1</v>
      </c>
      <c r="AD85">
        <v>7</v>
      </c>
      <c r="AE85">
        <v>0</v>
      </c>
      <c r="AF85" s="23">
        <f>AC85+AD85/20+AE85/240</f>
        <v>1.35</v>
      </c>
      <c r="AG85">
        <v>1</v>
      </c>
      <c r="AH85">
        <v>7</v>
      </c>
      <c r="AI85">
        <v>0</v>
      </c>
      <c r="AJ85" s="23">
        <f t="shared" si="33"/>
        <v>1.35</v>
      </c>
      <c r="BB85" s="7"/>
      <c r="BE85" s="23"/>
      <c r="BG85" s="23">
        <v>1.35</v>
      </c>
      <c r="BP85" s="34"/>
      <c r="BS85" s="21"/>
      <c r="BW85" s="20">
        <f>U85+(BO85*12*O85)+BT85</f>
        <v>16.200000000000003</v>
      </c>
      <c r="BX85" s="20">
        <f>BW85/O85</f>
        <v>16.200000000000003</v>
      </c>
      <c r="CJ85">
        <f t="shared" si="34"/>
        <v>1420</v>
      </c>
      <c r="CK85" s="2" t="s">
        <v>603</v>
      </c>
    </row>
    <row r="86" spans="1:90" ht="12.75">
      <c r="A86" s="15">
        <v>1420</v>
      </c>
      <c r="B86" s="14" t="s">
        <v>952</v>
      </c>
      <c r="C86" s="14" t="s">
        <v>558</v>
      </c>
      <c r="D86" s="14" t="s">
        <v>256</v>
      </c>
      <c r="E86" s="14" t="s">
        <v>275</v>
      </c>
      <c r="F86" s="2" t="s">
        <v>107</v>
      </c>
      <c r="G86" s="2">
        <v>2</v>
      </c>
      <c r="H86" s="2" t="s">
        <v>428</v>
      </c>
      <c r="I86" s="2" t="s">
        <v>1235</v>
      </c>
      <c r="J86" s="14" t="s">
        <v>326</v>
      </c>
      <c r="K86" s="2" t="s">
        <v>488</v>
      </c>
      <c r="L86" s="14" t="s">
        <v>410</v>
      </c>
      <c r="M86" s="14" t="s">
        <v>1178</v>
      </c>
      <c r="N86" s="2" t="s">
        <v>1301</v>
      </c>
      <c r="O86" s="10">
        <v>50</v>
      </c>
      <c r="U86" s="45">
        <f>O86*V86</f>
        <v>2160</v>
      </c>
      <c r="V86" s="45">
        <f t="shared" si="32"/>
        <v>43.2</v>
      </c>
      <c r="X86" s="6">
        <f>3+12/20</f>
        <v>3.6</v>
      </c>
      <c r="AB86" s="45"/>
      <c r="AF86" s="23">
        <f>O86*X86</f>
        <v>180</v>
      </c>
      <c r="AG86">
        <v>3</v>
      </c>
      <c r="AH86">
        <v>12</v>
      </c>
      <c r="AI86">
        <v>0</v>
      </c>
      <c r="AJ86" s="23">
        <f t="shared" si="33"/>
        <v>3.6</v>
      </c>
      <c r="AX86" s="23"/>
      <c r="BC86" s="23">
        <v>3.6</v>
      </c>
      <c r="BG86" s="23"/>
      <c r="BP86" s="34"/>
      <c r="BS86" s="21"/>
      <c r="BW86" s="20">
        <f>U86+(BO86*12*O86)+BT86</f>
        <v>2160</v>
      </c>
      <c r="BX86" s="20">
        <f>BW86/O86</f>
        <v>43.2</v>
      </c>
      <c r="CJ86">
        <f t="shared" si="34"/>
        <v>1420</v>
      </c>
      <c r="CK86" s="2" t="s">
        <v>488</v>
      </c>
      <c r="CL86" t="s">
        <v>1052</v>
      </c>
    </row>
    <row r="87" spans="1:89" ht="12.75">
      <c r="A87" s="15"/>
      <c r="E87" s="14"/>
      <c r="F87" s="2"/>
      <c r="G87" s="2"/>
      <c r="K87" s="2"/>
      <c r="U87" s="45"/>
      <c r="V87" s="45"/>
      <c r="X87" s="6"/>
      <c r="AB87" s="45"/>
      <c r="AF87" s="23"/>
      <c r="AJ87" s="23"/>
      <c r="AK87" s="23"/>
      <c r="BG87" s="23"/>
      <c r="BP87" s="34"/>
      <c r="BS87" s="21"/>
      <c r="BW87" s="20"/>
      <c r="BX87" s="20"/>
      <c r="CK87" s="2"/>
    </row>
    <row r="88" spans="1:89" ht="12.75">
      <c r="A88" s="15">
        <v>1419</v>
      </c>
      <c r="B88" s="14" t="s">
        <v>1076</v>
      </c>
      <c r="C88" s="14" t="s">
        <v>1267</v>
      </c>
      <c r="D88" s="14" t="s">
        <v>13</v>
      </c>
      <c r="E88" s="14" t="s">
        <v>267</v>
      </c>
      <c r="F88" s="2" t="s">
        <v>116</v>
      </c>
      <c r="G88" s="2"/>
      <c r="H88" s="2" t="s">
        <v>591</v>
      </c>
      <c r="I88" s="2" t="s">
        <v>393</v>
      </c>
      <c r="J88" s="14" t="s">
        <v>326</v>
      </c>
      <c r="K88" s="2" t="s">
        <v>594</v>
      </c>
      <c r="L88" s="14" t="s">
        <v>585</v>
      </c>
      <c r="M88" s="14" t="s">
        <v>327</v>
      </c>
      <c r="N88" s="2" t="s">
        <v>1293</v>
      </c>
      <c r="O88" s="10">
        <v>2</v>
      </c>
      <c r="P88" s="10">
        <v>14</v>
      </c>
      <c r="U88" s="45">
        <f>12*(5+19/20+10/240)</f>
        <v>71.9</v>
      </c>
      <c r="V88" s="45">
        <f>12*X88</f>
        <v>30</v>
      </c>
      <c r="W88" s="23">
        <f>(20*(U88-(2*V88)))/14</f>
        <v>17.000000000000007</v>
      </c>
      <c r="X88" s="6">
        <f>2+10/20</f>
        <v>2.5</v>
      </c>
      <c r="AB88" s="45"/>
      <c r="AC88">
        <v>5</v>
      </c>
      <c r="AD88">
        <v>19</v>
      </c>
      <c r="AE88">
        <v>10</v>
      </c>
      <c r="AF88" s="23">
        <f>AC88+AD88/20+AE88/240</f>
        <v>5.991666666666667</v>
      </c>
      <c r="AG88">
        <v>2</v>
      </c>
      <c r="AH88">
        <v>10</v>
      </c>
      <c r="AI88">
        <v>0</v>
      </c>
      <c r="AJ88" s="23">
        <f>X88*1</f>
        <v>2.5</v>
      </c>
      <c r="AK88" s="23">
        <f>W88/12</f>
        <v>1.4166666666666672</v>
      </c>
      <c r="BB88" s="23"/>
      <c r="BD88" s="23">
        <v>2.5</v>
      </c>
      <c r="BG88" s="7"/>
      <c r="BP88" s="34"/>
      <c r="BS88" s="21"/>
      <c r="BW88" s="20">
        <f>U88+(BO88*12*O88)+BT88</f>
        <v>71.9</v>
      </c>
      <c r="BX88" s="20">
        <f>V88*1</f>
        <v>30</v>
      </c>
      <c r="CJ88">
        <f>A88*1</f>
        <v>1419</v>
      </c>
      <c r="CK88" s="2" t="s">
        <v>594</v>
      </c>
    </row>
    <row r="89" spans="1:89" ht="12.75">
      <c r="A89" s="15"/>
      <c r="E89" s="14"/>
      <c r="F89" s="2"/>
      <c r="G89" s="2"/>
      <c r="K89" s="2"/>
      <c r="U89" s="45"/>
      <c r="V89" s="45"/>
      <c r="X89" s="6"/>
      <c r="AB89" s="45"/>
      <c r="AF89" s="23"/>
      <c r="AJ89" s="23"/>
      <c r="AK89" s="23"/>
      <c r="BB89" s="23"/>
      <c r="BD89" s="23"/>
      <c r="BG89" s="35"/>
      <c r="BP89" s="34"/>
      <c r="BS89" s="21"/>
      <c r="BW89" s="20"/>
      <c r="BX89" s="20"/>
      <c r="CK89" s="2"/>
    </row>
    <row r="90" spans="1:89" ht="12.75">
      <c r="A90" s="15" t="s">
        <v>13</v>
      </c>
      <c r="B90" s="14" t="s">
        <v>3</v>
      </c>
      <c r="C90" s="14" t="s">
        <v>1267</v>
      </c>
      <c r="D90" s="14" t="s">
        <v>13</v>
      </c>
      <c r="E90" s="14" t="s">
        <v>267</v>
      </c>
      <c r="F90" s="2" t="s">
        <v>117</v>
      </c>
      <c r="G90" s="2"/>
      <c r="H90" s="2" t="s">
        <v>428</v>
      </c>
      <c r="I90" s="2" t="s">
        <v>912</v>
      </c>
      <c r="J90" s="14" t="s">
        <v>326</v>
      </c>
      <c r="K90" s="2" t="s">
        <v>479</v>
      </c>
      <c r="L90" s="14" t="s">
        <v>410</v>
      </c>
      <c r="M90" s="14" t="s">
        <v>749</v>
      </c>
      <c r="N90" s="2" t="s">
        <v>1293</v>
      </c>
      <c r="O90" s="10">
        <v>2</v>
      </c>
      <c r="P90" s="10">
        <v>14</v>
      </c>
      <c r="U90" s="45">
        <f>12*(7+17/20+8/240)</f>
        <v>94.6</v>
      </c>
      <c r="V90" s="45">
        <f>12*X90</f>
        <v>39.599999999999994</v>
      </c>
      <c r="W90" s="23">
        <f>(20*(U90-(2*V90)))/14</f>
        <v>22.000000000000007</v>
      </c>
      <c r="X90" s="6">
        <f>3+6/20</f>
        <v>3.3</v>
      </c>
      <c r="AB90" s="45"/>
      <c r="AC90">
        <v>7</v>
      </c>
      <c r="AD90">
        <v>17</v>
      </c>
      <c r="AE90">
        <v>8</v>
      </c>
      <c r="AF90" s="23">
        <f>AC90+AD90/20+AE90/240</f>
        <v>7.883333333333333</v>
      </c>
      <c r="AG90">
        <v>3</v>
      </c>
      <c r="AH90">
        <v>6</v>
      </c>
      <c r="AI90">
        <v>0</v>
      </c>
      <c r="AJ90" s="23">
        <f>X90*1</f>
        <v>3.3</v>
      </c>
      <c r="AK90" s="23">
        <f>W90/12</f>
        <v>1.833333333333334</v>
      </c>
      <c r="AU90" s="23"/>
      <c r="AX90" s="23"/>
      <c r="BD90" s="23">
        <v>3.3</v>
      </c>
      <c r="BG90" s="23"/>
      <c r="BP90" s="34"/>
      <c r="BS90" s="21"/>
      <c r="BW90" s="20">
        <f>U90+(BO90*12*O90)+BT90</f>
        <v>94.6</v>
      </c>
      <c r="BX90" s="20">
        <f>V90*1</f>
        <v>39.599999999999994</v>
      </c>
      <c r="CJ90" s="17" t="s">
        <v>13</v>
      </c>
      <c r="CK90" s="2" t="s">
        <v>479</v>
      </c>
    </row>
    <row r="91" spans="1:89" ht="12.75">
      <c r="A91" s="15"/>
      <c r="E91" s="14"/>
      <c r="F91" s="2"/>
      <c r="G91" s="2"/>
      <c r="K91" s="2"/>
      <c r="U91" s="45"/>
      <c r="V91" s="45"/>
      <c r="X91" s="6"/>
      <c r="AB91" s="45"/>
      <c r="AF91" s="23"/>
      <c r="AJ91" s="23"/>
      <c r="BG91" s="23"/>
      <c r="BP91" s="34"/>
      <c r="BS91" s="21"/>
      <c r="BW91" s="20"/>
      <c r="BX91" s="20"/>
      <c r="CK91" s="2"/>
    </row>
    <row r="92" spans="1:90" ht="12.75">
      <c r="A92" s="15">
        <v>1420</v>
      </c>
      <c r="B92" s="14" t="s">
        <v>1077</v>
      </c>
      <c r="C92" s="14" t="s">
        <v>558</v>
      </c>
      <c r="D92" s="14" t="s">
        <v>257</v>
      </c>
      <c r="E92" s="14" t="s">
        <v>280</v>
      </c>
      <c r="F92" s="2" t="s">
        <v>118</v>
      </c>
      <c r="G92" s="2">
        <v>1</v>
      </c>
      <c r="H92" s="2" t="s">
        <v>428</v>
      </c>
      <c r="I92" s="2" t="s">
        <v>699</v>
      </c>
      <c r="J92" s="14" t="s">
        <v>326</v>
      </c>
      <c r="K92" s="2" t="s">
        <v>453</v>
      </c>
      <c r="L92" s="14" t="s">
        <v>408</v>
      </c>
      <c r="M92" s="14" t="s">
        <v>353</v>
      </c>
      <c r="N92" s="2" t="s">
        <v>1495</v>
      </c>
      <c r="O92" s="10">
        <v>11</v>
      </c>
      <c r="U92" s="45">
        <f aca="true" t="shared" si="35" ref="U92:U100">O92*V92</f>
        <v>653.4000000000001</v>
      </c>
      <c r="V92" s="45">
        <f aca="true" t="shared" si="36" ref="V92:V100">12*X92</f>
        <v>59.400000000000006</v>
      </c>
      <c r="X92" s="6">
        <f>4+19/20</f>
        <v>4.95</v>
      </c>
      <c r="AB92" s="45"/>
      <c r="AC92">
        <v>54</v>
      </c>
      <c r="AD92">
        <v>0</v>
      </c>
      <c r="AE92">
        <v>0</v>
      </c>
      <c r="AF92" s="23">
        <f>AC92+AD92/20+AE92/240</f>
        <v>54</v>
      </c>
      <c r="AG92">
        <v>4</v>
      </c>
      <c r="AH92">
        <v>19</v>
      </c>
      <c r="AI92">
        <v>0</v>
      </c>
      <c r="AJ92" s="23">
        <f aca="true" t="shared" si="37" ref="AJ92:AJ100">X92*1</f>
        <v>4.95</v>
      </c>
      <c r="BG92" s="23"/>
      <c r="BP92" s="34"/>
      <c r="BS92" s="21"/>
      <c r="BW92" s="20">
        <f aca="true" t="shared" si="38" ref="BW92:BW100">U92+(BO92*12*O92)+BT92</f>
        <v>653.4000000000001</v>
      </c>
      <c r="BX92" s="20">
        <f aca="true" t="shared" si="39" ref="BX92:BX100">BW92/O92</f>
        <v>59.400000000000006</v>
      </c>
      <c r="CJ92">
        <f>A92*1</f>
        <v>1420</v>
      </c>
      <c r="CK92" s="2" t="s">
        <v>453</v>
      </c>
      <c r="CL92" t="s">
        <v>30</v>
      </c>
    </row>
    <row r="93" spans="1:90" ht="12.75">
      <c r="A93" s="15">
        <v>1420</v>
      </c>
      <c r="B93" s="14" t="s">
        <v>1077</v>
      </c>
      <c r="C93" s="14" t="s">
        <v>558</v>
      </c>
      <c r="D93" s="14" t="s">
        <v>257</v>
      </c>
      <c r="E93" s="14" t="s">
        <v>280</v>
      </c>
      <c r="F93" s="2" t="s">
        <v>119</v>
      </c>
      <c r="G93" s="2">
        <v>1</v>
      </c>
      <c r="H93" s="2" t="s">
        <v>428</v>
      </c>
      <c r="I93" s="2" t="s">
        <v>699</v>
      </c>
      <c r="J93" s="14" t="s">
        <v>326</v>
      </c>
      <c r="K93" s="2" t="s">
        <v>453</v>
      </c>
      <c r="L93" s="14" t="s">
        <v>408</v>
      </c>
      <c r="M93" s="14" t="s">
        <v>353</v>
      </c>
      <c r="N93" s="2" t="s">
        <v>1427</v>
      </c>
      <c r="O93" s="10">
        <v>5</v>
      </c>
      <c r="U93" s="45">
        <f t="shared" si="35"/>
        <v>297</v>
      </c>
      <c r="V93" s="45">
        <f t="shared" si="36"/>
        <v>59.400000000000006</v>
      </c>
      <c r="X93" s="6">
        <f>4+19/20</f>
        <v>4.95</v>
      </c>
      <c r="AB93" s="45"/>
      <c r="AF93" s="23">
        <f>X93*O93</f>
        <v>24.75</v>
      </c>
      <c r="AG93">
        <v>4</v>
      </c>
      <c r="AH93">
        <v>19</v>
      </c>
      <c r="AI93">
        <v>0</v>
      </c>
      <c r="AJ93" s="23">
        <f t="shared" si="37"/>
        <v>4.95</v>
      </c>
      <c r="AY93" s="23">
        <v>4.95</v>
      </c>
      <c r="BG93" s="23"/>
      <c r="BP93" s="19"/>
      <c r="BS93" s="21"/>
      <c r="BW93" s="20">
        <f t="shared" si="38"/>
        <v>297</v>
      </c>
      <c r="BX93" s="20">
        <f t="shared" si="39"/>
        <v>59.4</v>
      </c>
      <c r="CJ93">
        <f>1*A93</f>
        <v>1420</v>
      </c>
      <c r="CK93" s="2" t="s">
        <v>453</v>
      </c>
      <c r="CL93" t="s">
        <v>574</v>
      </c>
    </row>
    <row r="94" spans="1:90" ht="12.75">
      <c r="A94" s="15">
        <v>1420</v>
      </c>
      <c r="B94" s="14" t="s">
        <v>1077</v>
      </c>
      <c r="C94" s="14" t="s">
        <v>558</v>
      </c>
      <c r="D94" s="14" t="s">
        <v>257</v>
      </c>
      <c r="E94" s="14" t="s">
        <v>280</v>
      </c>
      <c r="F94" s="2" t="s">
        <v>120</v>
      </c>
      <c r="G94" s="2">
        <v>1</v>
      </c>
      <c r="H94" s="2" t="s">
        <v>1547</v>
      </c>
      <c r="I94" s="2" t="s">
        <v>733</v>
      </c>
      <c r="J94" s="14" t="s">
        <v>326</v>
      </c>
      <c r="K94" s="2" t="s">
        <v>1549</v>
      </c>
      <c r="L94" s="14" t="s">
        <v>1543</v>
      </c>
      <c r="M94" s="14" t="s">
        <v>745</v>
      </c>
      <c r="N94" s="2" t="s">
        <v>1494</v>
      </c>
      <c r="O94" s="10">
        <v>8</v>
      </c>
      <c r="U94" s="45">
        <f t="shared" si="35"/>
        <v>456</v>
      </c>
      <c r="V94" s="45">
        <f t="shared" si="36"/>
        <v>57</v>
      </c>
      <c r="X94" s="6">
        <f>4+15/20</f>
        <v>4.75</v>
      </c>
      <c r="AB94" s="45"/>
      <c r="AF94" s="23">
        <f>X94*O94</f>
        <v>38</v>
      </c>
      <c r="AG94">
        <v>4</v>
      </c>
      <c r="AH94">
        <v>15</v>
      </c>
      <c r="AI94">
        <v>0</v>
      </c>
      <c r="AJ94" s="23">
        <f t="shared" si="37"/>
        <v>4.75</v>
      </c>
      <c r="AX94" s="23"/>
      <c r="BS94" s="21"/>
      <c r="BW94" s="20">
        <f t="shared" si="38"/>
        <v>456</v>
      </c>
      <c r="BX94" s="20">
        <f t="shared" si="39"/>
        <v>57</v>
      </c>
      <c r="CJ94">
        <f aca="true" t="shared" si="40" ref="CJ94:CJ100">A94*1</f>
        <v>1420</v>
      </c>
      <c r="CK94" s="2" t="s">
        <v>1549</v>
      </c>
      <c r="CL94" t="s">
        <v>16</v>
      </c>
    </row>
    <row r="95" spans="1:90" ht="12.75">
      <c r="A95" s="15">
        <v>1420</v>
      </c>
      <c r="B95" s="14" t="s">
        <v>1077</v>
      </c>
      <c r="C95" s="14" t="s">
        <v>558</v>
      </c>
      <c r="D95" s="14" t="s">
        <v>257</v>
      </c>
      <c r="E95" s="14" t="s">
        <v>280</v>
      </c>
      <c r="F95" s="2" t="s">
        <v>121</v>
      </c>
      <c r="G95" s="2">
        <v>1</v>
      </c>
      <c r="H95" s="2" t="s">
        <v>1547</v>
      </c>
      <c r="I95" s="2" t="s">
        <v>733</v>
      </c>
      <c r="J95" s="14" t="s">
        <v>326</v>
      </c>
      <c r="K95" s="2" t="s">
        <v>1549</v>
      </c>
      <c r="L95" s="14" t="s">
        <v>1543</v>
      </c>
      <c r="M95" s="14" t="s">
        <v>745</v>
      </c>
      <c r="N95" s="2" t="s">
        <v>1494</v>
      </c>
      <c r="O95" s="10">
        <v>3</v>
      </c>
      <c r="U95" s="45">
        <f t="shared" si="35"/>
        <v>180</v>
      </c>
      <c r="V95" s="45">
        <f t="shared" si="36"/>
        <v>60</v>
      </c>
      <c r="X95" s="6">
        <v>5</v>
      </c>
      <c r="AB95" s="45"/>
      <c r="AF95" s="23">
        <f>X95*O95</f>
        <v>15</v>
      </c>
      <c r="AG95">
        <v>5</v>
      </c>
      <c r="AH95">
        <v>0</v>
      </c>
      <c r="AI95">
        <v>0</v>
      </c>
      <c r="AJ95" s="23">
        <f t="shared" si="37"/>
        <v>5</v>
      </c>
      <c r="BB95" s="23"/>
      <c r="BD95" s="7"/>
      <c r="BE95" s="19"/>
      <c r="BF95" s="19"/>
      <c r="BG95" s="23"/>
      <c r="BP95" s="34"/>
      <c r="BS95" s="21"/>
      <c r="BW95" s="20">
        <f t="shared" si="38"/>
        <v>180</v>
      </c>
      <c r="BX95" s="20">
        <f t="shared" si="39"/>
        <v>60</v>
      </c>
      <c r="CJ95">
        <f t="shared" si="40"/>
        <v>1420</v>
      </c>
      <c r="CK95" s="2" t="s">
        <v>1549</v>
      </c>
      <c r="CL95" t="s">
        <v>1007</v>
      </c>
    </row>
    <row r="96" spans="1:90" ht="12.75">
      <c r="A96" s="15">
        <v>1420</v>
      </c>
      <c r="B96" s="14" t="s">
        <v>1077</v>
      </c>
      <c r="C96" s="14" t="s">
        <v>558</v>
      </c>
      <c r="D96" s="14" t="s">
        <v>257</v>
      </c>
      <c r="E96" s="14" t="s">
        <v>280</v>
      </c>
      <c r="F96" s="2" t="s">
        <v>122</v>
      </c>
      <c r="G96" s="2">
        <v>1</v>
      </c>
      <c r="H96" s="2" t="s">
        <v>428</v>
      </c>
      <c r="I96" s="2" t="s">
        <v>1236</v>
      </c>
      <c r="J96" s="14" t="s">
        <v>326</v>
      </c>
      <c r="K96" s="2" t="s">
        <v>490</v>
      </c>
      <c r="L96" s="14" t="s">
        <v>410</v>
      </c>
      <c r="M96" s="14" t="s">
        <v>1177</v>
      </c>
      <c r="N96" s="2" t="s">
        <v>1499</v>
      </c>
      <c r="O96" s="10">
        <v>11</v>
      </c>
      <c r="U96" s="45">
        <f t="shared" si="35"/>
        <v>462</v>
      </c>
      <c r="V96" s="45">
        <f t="shared" si="36"/>
        <v>42</v>
      </c>
      <c r="X96" s="6">
        <f>3+10/20</f>
        <v>3.5</v>
      </c>
      <c r="AB96" s="45"/>
      <c r="AC96">
        <v>38</v>
      </c>
      <c r="AD96">
        <v>10</v>
      </c>
      <c r="AE96">
        <v>0</v>
      </c>
      <c r="AF96" s="23">
        <f>AC96+AD96/20+AE96/240</f>
        <v>38.5</v>
      </c>
      <c r="AG96">
        <v>3</v>
      </c>
      <c r="AH96">
        <v>10</v>
      </c>
      <c r="AI96">
        <v>0</v>
      </c>
      <c r="AJ96" s="23">
        <f t="shared" si="37"/>
        <v>3.5</v>
      </c>
      <c r="AW96" s="7"/>
      <c r="AX96" s="23"/>
      <c r="BD96" s="7"/>
      <c r="BE96" s="19"/>
      <c r="BF96" s="19"/>
      <c r="BG96" s="23"/>
      <c r="BP96" s="34"/>
      <c r="BS96" s="21"/>
      <c r="BW96" s="20">
        <f t="shared" si="38"/>
        <v>462</v>
      </c>
      <c r="BX96" s="20">
        <f t="shared" si="39"/>
        <v>42</v>
      </c>
      <c r="CJ96">
        <f t="shared" si="40"/>
        <v>1420</v>
      </c>
      <c r="CK96" s="2" t="s">
        <v>490</v>
      </c>
      <c r="CL96" t="s">
        <v>1006</v>
      </c>
    </row>
    <row r="97" spans="1:89" ht="12.75">
      <c r="A97" s="15">
        <v>1420</v>
      </c>
      <c r="B97" s="14" t="s">
        <v>1077</v>
      </c>
      <c r="C97" s="14" t="s">
        <v>558</v>
      </c>
      <c r="D97" s="14" t="s">
        <v>257</v>
      </c>
      <c r="E97" s="14" t="s">
        <v>280</v>
      </c>
      <c r="F97" s="2" t="s">
        <v>123</v>
      </c>
      <c r="G97" s="2">
        <v>1</v>
      </c>
      <c r="H97" s="2" t="s">
        <v>428</v>
      </c>
      <c r="I97" s="2" t="s">
        <v>707</v>
      </c>
      <c r="J97" s="14" t="s">
        <v>326</v>
      </c>
      <c r="K97" s="2" t="s">
        <v>478</v>
      </c>
      <c r="L97" s="14" t="s">
        <v>408</v>
      </c>
      <c r="M97" s="14" t="s">
        <v>758</v>
      </c>
      <c r="N97" s="2" t="s">
        <v>570</v>
      </c>
      <c r="O97" s="10">
        <v>1</v>
      </c>
      <c r="U97" s="45">
        <f t="shared" si="35"/>
        <v>57.900000000000006</v>
      </c>
      <c r="V97" s="45">
        <f t="shared" si="36"/>
        <v>57.900000000000006</v>
      </c>
      <c r="X97" s="6">
        <f>4+16/20+6/240</f>
        <v>4.825</v>
      </c>
      <c r="AB97" s="45"/>
      <c r="AC97">
        <v>4</v>
      </c>
      <c r="AD97">
        <v>16</v>
      </c>
      <c r="AE97">
        <v>6</v>
      </c>
      <c r="AF97" s="23">
        <f>AC97+AD97/20+AE97/240</f>
        <v>4.825</v>
      </c>
      <c r="AG97">
        <v>4</v>
      </c>
      <c r="AH97">
        <v>16</v>
      </c>
      <c r="AI97">
        <v>6</v>
      </c>
      <c r="AJ97" s="23">
        <f t="shared" si="37"/>
        <v>4.825</v>
      </c>
      <c r="AK97" s="23"/>
      <c r="AW97" s="7"/>
      <c r="AX97" s="23">
        <v>4.825</v>
      </c>
      <c r="BD97" s="7"/>
      <c r="BE97" s="23"/>
      <c r="BF97" s="23"/>
      <c r="BG97" s="23"/>
      <c r="BP97" s="34"/>
      <c r="BS97" s="21"/>
      <c r="BW97" s="20">
        <f t="shared" si="38"/>
        <v>57.900000000000006</v>
      </c>
      <c r="BX97" s="20">
        <f t="shared" si="39"/>
        <v>57.900000000000006</v>
      </c>
      <c r="CJ97">
        <f t="shared" si="40"/>
        <v>1420</v>
      </c>
      <c r="CK97" s="2" t="s">
        <v>478</v>
      </c>
    </row>
    <row r="98" spans="1:89" ht="12.75">
      <c r="A98" s="15">
        <v>1420</v>
      </c>
      <c r="B98" s="14" t="s">
        <v>1077</v>
      </c>
      <c r="C98" s="14" t="s">
        <v>558</v>
      </c>
      <c r="D98" s="14" t="s">
        <v>257</v>
      </c>
      <c r="E98" s="14" t="s">
        <v>280</v>
      </c>
      <c r="F98" s="2" t="s">
        <v>124</v>
      </c>
      <c r="G98" s="2">
        <v>1</v>
      </c>
      <c r="H98" s="2" t="s">
        <v>428</v>
      </c>
      <c r="I98" s="2" t="s">
        <v>1573</v>
      </c>
      <c r="J98" s="14" t="s">
        <v>326</v>
      </c>
      <c r="K98" s="2" t="s">
        <v>431</v>
      </c>
      <c r="L98" s="14" t="s">
        <v>410</v>
      </c>
      <c r="M98" s="14" t="s">
        <v>347</v>
      </c>
      <c r="N98" s="2" t="s">
        <v>287</v>
      </c>
      <c r="O98" s="10">
        <v>1</v>
      </c>
      <c r="U98" s="45">
        <f t="shared" si="35"/>
        <v>43.2</v>
      </c>
      <c r="V98" s="45">
        <f t="shared" si="36"/>
        <v>43.2</v>
      </c>
      <c r="X98" s="6">
        <f>3+12/20</f>
        <v>3.6</v>
      </c>
      <c r="AB98" s="45"/>
      <c r="AC98">
        <v>3</v>
      </c>
      <c r="AD98">
        <v>12</v>
      </c>
      <c r="AE98">
        <v>0</v>
      </c>
      <c r="AF98" s="23">
        <f>AC98+AD98/20+AE98/240</f>
        <v>3.6</v>
      </c>
      <c r="AG98">
        <v>3</v>
      </c>
      <c r="AH98">
        <v>12</v>
      </c>
      <c r="AI98">
        <v>0</v>
      </c>
      <c r="AJ98" s="23">
        <f t="shared" si="37"/>
        <v>3.6</v>
      </c>
      <c r="AK98" s="23"/>
      <c r="AW98" s="7"/>
      <c r="BB98" s="23">
        <v>3.6</v>
      </c>
      <c r="BD98" s="7"/>
      <c r="BE98" s="19"/>
      <c r="BF98" s="19"/>
      <c r="BG98" s="23"/>
      <c r="BP98" s="34"/>
      <c r="BS98" s="21"/>
      <c r="BW98" s="20">
        <f t="shared" si="38"/>
        <v>43.2</v>
      </c>
      <c r="BX98" s="20">
        <f t="shared" si="39"/>
        <v>43.2</v>
      </c>
      <c r="CJ98">
        <f t="shared" si="40"/>
        <v>1420</v>
      </c>
      <c r="CK98" s="2" t="s">
        <v>431</v>
      </c>
    </row>
    <row r="99" spans="1:89" ht="12.75">
      <c r="A99" s="15">
        <v>1420</v>
      </c>
      <c r="B99" s="14" t="s">
        <v>1077</v>
      </c>
      <c r="C99" s="14" t="s">
        <v>558</v>
      </c>
      <c r="D99" s="14" t="s">
        <v>257</v>
      </c>
      <c r="E99" s="14" t="s">
        <v>280</v>
      </c>
      <c r="F99" s="2" t="s">
        <v>125</v>
      </c>
      <c r="G99" s="2">
        <v>1</v>
      </c>
      <c r="H99" s="2" t="s">
        <v>1254</v>
      </c>
      <c r="I99" s="2" t="s">
        <v>407</v>
      </c>
      <c r="J99" s="14" t="s">
        <v>326</v>
      </c>
      <c r="K99" s="2" t="s">
        <v>1263</v>
      </c>
      <c r="L99" s="14" t="s">
        <v>1226</v>
      </c>
      <c r="M99" s="14" t="s">
        <v>1107</v>
      </c>
      <c r="N99" s="2" t="s">
        <v>1361</v>
      </c>
      <c r="O99" s="10">
        <v>1</v>
      </c>
      <c r="U99" s="45">
        <f t="shared" si="35"/>
        <v>29.25</v>
      </c>
      <c r="V99" s="45">
        <f t="shared" si="36"/>
        <v>29.25</v>
      </c>
      <c r="X99" s="6">
        <f>2+8/20+9/240</f>
        <v>2.4375</v>
      </c>
      <c r="AB99" s="45"/>
      <c r="AC99">
        <v>2</v>
      </c>
      <c r="AD99">
        <v>8</v>
      </c>
      <c r="AE99">
        <v>9</v>
      </c>
      <c r="AF99" s="23">
        <f>AC99+AD99/20+AE99/240</f>
        <v>2.4375</v>
      </c>
      <c r="AG99">
        <v>2</v>
      </c>
      <c r="AH99">
        <v>8</v>
      </c>
      <c r="AI99">
        <v>9</v>
      </c>
      <c r="AJ99" s="23">
        <f t="shared" si="37"/>
        <v>2.4375</v>
      </c>
      <c r="AK99" s="23"/>
      <c r="AU99" s="23"/>
      <c r="AV99" s="23"/>
      <c r="AW99" s="7"/>
      <c r="BD99" s="7"/>
      <c r="BE99" s="23">
        <v>2.4375</v>
      </c>
      <c r="BF99" s="19"/>
      <c r="BP99" s="34"/>
      <c r="BS99" s="21"/>
      <c r="BW99" s="20">
        <f t="shared" si="38"/>
        <v>29.25</v>
      </c>
      <c r="BX99" s="20">
        <f t="shared" si="39"/>
        <v>29.25</v>
      </c>
      <c r="CJ99">
        <f t="shared" si="40"/>
        <v>1420</v>
      </c>
      <c r="CK99" s="2" t="s">
        <v>1263</v>
      </c>
    </row>
    <row r="100" spans="1:90" ht="12.75">
      <c r="A100" s="15">
        <v>1420</v>
      </c>
      <c r="B100" s="14" t="s">
        <v>1077</v>
      </c>
      <c r="C100" s="14" t="s">
        <v>558</v>
      </c>
      <c r="D100" s="14" t="s">
        <v>257</v>
      </c>
      <c r="E100" s="14" t="s">
        <v>280</v>
      </c>
      <c r="F100" s="2" t="s">
        <v>126</v>
      </c>
      <c r="G100" s="2">
        <v>1</v>
      </c>
      <c r="H100" s="2" t="s">
        <v>1254</v>
      </c>
      <c r="I100" s="2" t="s">
        <v>403</v>
      </c>
      <c r="J100" s="14" t="s">
        <v>326</v>
      </c>
      <c r="K100" s="2" t="s">
        <v>1255</v>
      </c>
      <c r="L100" s="14" t="s">
        <v>1226</v>
      </c>
      <c r="M100" s="14" t="s">
        <v>327</v>
      </c>
      <c r="N100" s="2" t="s">
        <v>1478</v>
      </c>
      <c r="O100" s="10">
        <v>3.5</v>
      </c>
      <c r="U100" s="45">
        <f t="shared" si="35"/>
        <v>100.275</v>
      </c>
      <c r="V100" s="45">
        <f t="shared" si="36"/>
        <v>28.650000000000002</v>
      </c>
      <c r="X100" s="6">
        <f>2+7/20+9/240</f>
        <v>2.3875</v>
      </c>
      <c r="AB100" s="45"/>
      <c r="AC100">
        <v>8</v>
      </c>
      <c r="AD100">
        <v>7</v>
      </c>
      <c r="AE100">
        <v>1</v>
      </c>
      <c r="AF100" s="23">
        <f>AC100+AD100/20+AE100/240</f>
        <v>8.354166666666666</v>
      </c>
      <c r="AG100">
        <v>2</v>
      </c>
      <c r="AH100">
        <v>7</v>
      </c>
      <c r="AI100">
        <v>9</v>
      </c>
      <c r="AJ100" s="23">
        <f t="shared" si="37"/>
        <v>2.3875</v>
      </c>
      <c r="AK100" s="23"/>
      <c r="AW100" s="7"/>
      <c r="BD100" s="7"/>
      <c r="BE100" s="19"/>
      <c r="BF100" s="19"/>
      <c r="BG100" s="23">
        <v>2.3875</v>
      </c>
      <c r="BP100" s="34"/>
      <c r="BS100" s="21"/>
      <c r="BW100" s="20">
        <f t="shared" si="38"/>
        <v>100.275</v>
      </c>
      <c r="BX100" s="20">
        <f t="shared" si="39"/>
        <v>28.650000000000002</v>
      </c>
      <c r="CJ100">
        <f t="shared" si="40"/>
        <v>1420</v>
      </c>
      <c r="CK100" s="2" t="s">
        <v>1255</v>
      </c>
      <c r="CL100" t="s">
        <v>37</v>
      </c>
    </row>
    <row r="101" spans="1:89" ht="12.75">
      <c r="A101" s="15"/>
      <c r="E101" s="14"/>
      <c r="F101" s="2"/>
      <c r="G101" s="2"/>
      <c r="K101" s="2"/>
      <c r="U101" s="45"/>
      <c r="V101" s="45"/>
      <c r="X101" s="6"/>
      <c r="AB101" s="45"/>
      <c r="AF101" s="23"/>
      <c r="AJ101" s="23"/>
      <c r="AK101" s="23"/>
      <c r="BC101" s="23"/>
      <c r="BS101" s="21"/>
      <c r="BW101" s="20"/>
      <c r="BX101" s="20"/>
      <c r="CK101" s="2"/>
    </row>
    <row r="102" spans="1:90" ht="12.75">
      <c r="A102" s="15">
        <v>1420</v>
      </c>
      <c r="B102" s="14" t="s">
        <v>1077</v>
      </c>
      <c r="C102" s="14" t="s">
        <v>558</v>
      </c>
      <c r="D102" s="14" t="s">
        <v>257</v>
      </c>
      <c r="E102" s="14" t="s">
        <v>280</v>
      </c>
      <c r="F102" s="2" t="s">
        <v>127</v>
      </c>
      <c r="G102" s="2">
        <v>2</v>
      </c>
      <c r="H102" t="s">
        <v>1482</v>
      </c>
      <c r="I102" t="s">
        <v>983</v>
      </c>
      <c r="J102" s="14" t="s">
        <v>326</v>
      </c>
      <c r="K102" s="2" t="s">
        <v>1489</v>
      </c>
      <c r="L102" s="14" t="s">
        <v>1477</v>
      </c>
      <c r="M102" s="14" t="s">
        <v>953</v>
      </c>
      <c r="N102" s="2" t="s">
        <v>276</v>
      </c>
      <c r="O102" s="10">
        <v>1</v>
      </c>
      <c r="U102" s="45">
        <f>O102*V102</f>
        <v>32.400000000000006</v>
      </c>
      <c r="V102" s="45">
        <f>12*X102</f>
        <v>32.400000000000006</v>
      </c>
      <c r="X102" s="6">
        <f>2+14/20</f>
        <v>2.7</v>
      </c>
      <c r="AB102" s="45"/>
      <c r="AC102">
        <v>2</v>
      </c>
      <c r="AD102">
        <v>14</v>
      </c>
      <c r="AE102">
        <v>0</v>
      </c>
      <c r="AF102" s="23">
        <f>AC102+AD102/20+AE102/240</f>
        <v>2.7</v>
      </c>
      <c r="AG102">
        <v>2</v>
      </c>
      <c r="AH102">
        <v>14</v>
      </c>
      <c r="AI102">
        <v>0</v>
      </c>
      <c r="AJ102" s="23">
        <f>X102*1</f>
        <v>2.7</v>
      </c>
      <c r="AK102" s="23"/>
      <c r="AU102" s="23"/>
      <c r="AX102" s="23">
        <v>2.7</v>
      </c>
      <c r="BC102" s="23"/>
      <c r="BS102" s="21"/>
      <c r="BW102" s="20">
        <f>U102+(BO102*12*O102)+BT102</f>
        <v>32.400000000000006</v>
      </c>
      <c r="BX102" s="20">
        <f>BW102/O102</f>
        <v>32.400000000000006</v>
      </c>
      <c r="CJ102">
        <f>A102*1</f>
        <v>1420</v>
      </c>
      <c r="CK102" s="2" t="s">
        <v>1489</v>
      </c>
      <c r="CL102" t="s">
        <v>1039</v>
      </c>
    </row>
    <row r="103" spans="1:89" ht="12.75">
      <c r="A103" s="15">
        <v>1420</v>
      </c>
      <c r="B103" s="14" t="s">
        <v>1077</v>
      </c>
      <c r="C103" s="14" t="s">
        <v>558</v>
      </c>
      <c r="D103" s="14" t="s">
        <v>257</v>
      </c>
      <c r="E103" s="14" t="s">
        <v>280</v>
      </c>
      <c r="F103" s="2" t="s">
        <v>128</v>
      </c>
      <c r="G103" s="2">
        <v>2</v>
      </c>
      <c r="H103" t="s">
        <v>591</v>
      </c>
      <c r="I103" t="s">
        <v>1127</v>
      </c>
      <c r="J103" s="14" t="s">
        <v>326</v>
      </c>
      <c r="K103" s="2" t="s">
        <v>602</v>
      </c>
      <c r="L103" s="14" t="s">
        <v>585</v>
      </c>
      <c r="M103" s="14" t="s">
        <v>1107</v>
      </c>
      <c r="N103" s="2" t="s">
        <v>765</v>
      </c>
      <c r="O103" s="10">
        <v>1</v>
      </c>
      <c r="U103" s="45">
        <f>O103*V103</f>
        <v>17.099999999999998</v>
      </c>
      <c r="V103" s="45">
        <f>12*X103</f>
        <v>17.099999999999998</v>
      </c>
      <c r="X103" s="6">
        <f>1+8/20+6/240</f>
        <v>1.4249999999999998</v>
      </c>
      <c r="AB103" s="45"/>
      <c r="AC103">
        <v>1</v>
      </c>
      <c r="AD103">
        <v>8</v>
      </c>
      <c r="AE103">
        <v>6</v>
      </c>
      <c r="AF103" s="23">
        <f>AC103+AD103/20+AE103/240</f>
        <v>1.4249999999999998</v>
      </c>
      <c r="AG103">
        <v>1</v>
      </c>
      <c r="AH103">
        <v>8</v>
      </c>
      <c r="AI103">
        <v>6</v>
      </c>
      <c r="AJ103" s="23">
        <f>X103*1</f>
        <v>1.4249999999999998</v>
      </c>
      <c r="AU103" s="7"/>
      <c r="AV103" s="7"/>
      <c r="BG103" s="23">
        <v>1.425</v>
      </c>
      <c r="BP103" s="34"/>
      <c r="BS103" s="21"/>
      <c r="BW103" s="20">
        <f>U103+(BO103*12*O103)+BT103</f>
        <v>17.099999999999998</v>
      </c>
      <c r="BX103" s="20">
        <f>BW103/O103</f>
        <v>17.099999999999998</v>
      </c>
      <c r="CJ103">
        <f>A103*1</f>
        <v>1420</v>
      </c>
      <c r="CK103" s="2" t="s">
        <v>602</v>
      </c>
    </row>
    <row r="104" spans="1:89" ht="12.75">
      <c r="A104" s="15"/>
      <c r="E104" s="14"/>
      <c r="F104" s="2"/>
      <c r="G104" s="2"/>
      <c r="K104" s="2"/>
      <c r="X104" s="6"/>
      <c r="AB104" s="45"/>
      <c r="AK104" s="23"/>
      <c r="AU104" s="7"/>
      <c r="AV104" s="7"/>
      <c r="AX104" s="23"/>
      <c r="BP104" s="34"/>
      <c r="BS104" s="21"/>
      <c r="CK104" s="2"/>
    </row>
    <row r="105" spans="1:90" ht="12.75">
      <c r="A105" s="15">
        <v>1421</v>
      </c>
      <c r="B105" s="14" t="s">
        <v>952</v>
      </c>
      <c r="C105" s="14" t="s">
        <v>558</v>
      </c>
      <c r="D105" s="14" t="s">
        <v>257</v>
      </c>
      <c r="E105" s="14" t="s">
        <v>283</v>
      </c>
      <c r="F105" s="2" t="s">
        <v>129</v>
      </c>
      <c r="G105" s="2">
        <v>1</v>
      </c>
      <c r="H105" s="2" t="s">
        <v>3</v>
      </c>
      <c r="I105" s="2" t="s">
        <v>716</v>
      </c>
      <c r="J105" s="14" t="s">
        <v>326</v>
      </c>
      <c r="K105" s="2" t="s">
        <v>717</v>
      </c>
      <c r="L105" s="14" t="s">
        <v>1281</v>
      </c>
      <c r="M105" s="14" t="s">
        <v>1141</v>
      </c>
      <c r="N105" s="2" t="s">
        <v>534</v>
      </c>
      <c r="O105" s="10">
        <v>11</v>
      </c>
      <c r="U105" s="45">
        <f aca="true" t="shared" si="41" ref="U105:U111">O105*V105</f>
        <v>1254</v>
      </c>
      <c r="V105" s="45">
        <f aca="true" t="shared" si="42" ref="V105:V111">12*X105</f>
        <v>114</v>
      </c>
      <c r="W105" s="23">
        <f>(20*V105)/33</f>
        <v>69.0909090909091</v>
      </c>
      <c r="X105" s="6">
        <f>9+10/20</f>
        <v>9.5</v>
      </c>
      <c r="AB105" s="45"/>
      <c r="AC105">
        <v>104</v>
      </c>
      <c r="AD105">
        <v>10</v>
      </c>
      <c r="AE105">
        <v>0</v>
      </c>
      <c r="AF105" s="23">
        <f>AC105+AD105/20+AE105/240</f>
        <v>104.5</v>
      </c>
      <c r="AG105">
        <v>9</v>
      </c>
      <c r="AH105">
        <v>10</v>
      </c>
      <c r="AI105">
        <v>0</v>
      </c>
      <c r="AJ105" s="23">
        <f aca="true" t="shared" si="43" ref="AJ105:AJ111">X105*1</f>
        <v>9.5</v>
      </c>
      <c r="AK105" s="23">
        <f>W105/12</f>
        <v>5.757575757575758</v>
      </c>
      <c r="AU105" s="7"/>
      <c r="AV105" s="7"/>
      <c r="BP105" s="34"/>
      <c r="BS105" s="21"/>
      <c r="BW105" s="20">
        <f aca="true" t="shared" si="44" ref="BW105:BW111">U105+(BO105*12*O105)+BT105</f>
        <v>1254</v>
      </c>
      <c r="BX105" s="20">
        <f aca="true" t="shared" si="45" ref="BX105:BX111">BW105/O105</f>
        <v>114</v>
      </c>
      <c r="CJ105">
        <f aca="true" t="shared" si="46" ref="CJ105:CJ111">A105*1</f>
        <v>1421</v>
      </c>
      <c r="CK105" s="2" t="s">
        <v>717</v>
      </c>
      <c r="CL105" t="s">
        <v>29</v>
      </c>
    </row>
    <row r="106" spans="1:90" ht="12.75">
      <c r="A106" s="15">
        <v>1421</v>
      </c>
      <c r="B106" s="14" t="s">
        <v>952</v>
      </c>
      <c r="C106" s="14" t="s">
        <v>558</v>
      </c>
      <c r="D106" s="14" t="s">
        <v>257</v>
      </c>
      <c r="E106" s="14" t="s">
        <v>283</v>
      </c>
      <c r="F106" s="2" t="s">
        <v>130</v>
      </c>
      <c r="G106" s="2">
        <v>1</v>
      </c>
      <c r="H106" s="2" t="s">
        <v>3</v>
      </c>
      <c r="I106" s="2" t="s">
        <v>716</v>
      </c>
      <c r="J106" s="14" t="s">
        <v>326</v>
      </c>
      <c r="K106" s="2" t="s">
        <v>717</v>
      </c>
      <c r="L106" s="14" t="s">
        <v>1281</v>
      </c>
      <c r="M106" s="14" t="s">
        <v>1141</v>
      </c>
      <c r="N106" s="2" t="s">
        <v>1427</v>
      </c>
      <c r="O106" s="10">
        <v>5</v>
      </c>
      <c r="U106" s="45">
        <f t="shared" si="41"/>
        <v>570</v>
      </c>
      <c r="V106" s="45">
        <f t="shared" si="42"/>
        <v>114</v>
      </c>
      <c r="W106" s="23">
        <f>(20*V106)/33</f>
        <v>69.0909090909091</v>
      </c>
      <c r="X106" s="6">
        <f>9+10/20</f>
        <v>9.5</v>
      </c>
      <c r="AB106" s="45"/>
      <c r="AF106" s="23">
        <f>O106*X106</f>
        <v>47.5</v>
      </c>
      <c r="AG106">
        <v>9</v>
      </c>
      <c r="AH106">
        <v>10</v>
      </c>
      <c r="AI106">
        <v>0</v>
      </c>
      <c r="AJ106" s="23">
        <f t="shared" si="43"/>
        <v>9.5</v>
      </c>
      <c r="AK106" s="23">
        <f>W106/12</f>
        <v>5.757575757575758</v>
      </c>
      <c r="AU106" s="7"/>
      <c r="AV106" s="7"/>
      <c r="AY106" s="23">
        <v>9.5</v>
      </c>
      <c r="BP106" s="34"/>
      <c r="BS106" s="21"/>
      <c r="BW106" s="20">
        <f t="shared" si="44"/>
        <v>570</v>
      </c>
      <c r="BX106" s="20">
        <f t="shared" si="45"/>
        <v>114</v>
      </c>
      <c r="CJ106">
        <f t="shared" si="46"/>
        <v>1421</v>
      </c>
      <c r="CK106" s="2" t="s">
        <v>717</v>
      </c>
      <c r="CL106" t="s">
        <v>1014</v>
      </c>
    </row>
    <row r="107" spans="1:90" ht="12.75">
      <c r="A107" s="15">
        <v>1421</v>
      </c>
      <c r="B107" s="14" t="s">
        <v>952</v>
      </c>
      <c r="C107" s="14" t="s">
        <v>558</v>
      </c>
      <c r="D107" s="14" t="s">
        <v>257</v>
      </c>
      <c r="E107" s="14" t="s">
        <v>283</v>
      </c>
      <c r="F107" s="2" t="s">
        <v>131</v>
      </c>
      <c r="G107" s="2">
        <v>1</v>
      </c>
      <c r="H107" s="2" t="s">
        <v>3</v>
      </c>
      <c r="I107" s="2" t="s">
        <v>706</v>
      </c>
      <c r="J107" s="14" t="s">
        <v>326</v>
      </c>
      <c r="K107" s="2" t="s">
        <v>712</v>
      </c>
      <c r="L107" s="14" t="s">
        <v>1422</v>
      </c>
      <c r="M107" s="14" t="s">
        <v>745</v>
      </c>
      <c r="N107" s="2" t="s">
        <v>534</v>
      </c>
      <c r="O107" s="10">
        <v>11</v>
      </c>
      <c r="U107" s="45">
        <f t="shared" si="41"/>
        <v>924</v>
      </c>
      <c r="V107" s="45">
        <f t="shared" si="42"/>
        <v>84</v>
      </c>
      <c r="W107" s="23">
        <f>(20*V107)/33</f>
        <v>50.90909090909091</v>
      </c>
      <c r="X107" s="6">
        <v>7</v>
      </c>
      <c r="AB107" s="45"/>
      <c r="AF107" s="23">
        <f>O107*X107</f>
        <v>77</v>
      </c>
      <c r="AG107">
        <v>7</v>
      </c>
      <c r="AH107">
        <v>0</v>
      </c>
      <c r="AI107">
        <v>0</v>
      </c>
      <c r="AJ107" s="23">
        <f t="shared" si="43"/>
        <v>7</v>
      </c>
      <c r="AK107" s="23">
        <f>W107/12</f>
        <v>4.242424242424242</v>
      </c>
      <c r="AU107" s="7"/>
      <c r="AV107" s="7"/>
      <c r="AZ107" s="23"/>
      <c r="BP107" s="34"/>
      <c r="BS107" s="21"/>
      <c r="BW107" s="20">
        <f t="shared" si="44"/>
        <v>924</v>
      </c>
      <c r="BX107" s="20">
        <f t="shared" si="45"/>
        <v>84</v>
      </c>
      <c r="CJ107">
        <f t="shared" si="46"/>
        <v>1421</v>
      </c>
      <c r="CK107" s="2" t="s">
        <v>712</v>
      </c>
      <c r="CL107" t="s">
        <v>1032</v>
      </c>
    </row>
    <row r="108" spans="1:90" ht="12.75">
      <c r="A108" s="15">
        <v>1421</v>
      </c>
      <c r="B108" s="14" t="s">
        <v>952</v>
      </c>
      <c r="C108" s="14" t="s">
        <v>558</v>
      </c>
      <c r="D108" s="14" t="s">
        <v>257</v>
      </c>
      <c r="E108" s="14" t="s">
        <v>283</v>
      </c>
      <c r="F108" s="2" t="s">
        <v>132</v>
      </c>
      <c r="G108" s="2">
        <v>1</v>
      </c>
      <c r="H108" s="2" t="s">
        <v>3</v>
      </c>
      <c r="I108" s="2" t="s">
        <v>731</v>
      </c>
      <c r="J108" s="14" t="s">
        <v>326</v>
      </c>
      <c r="K108" s="2" t="s">
        <v>724</v>
      </c>
      <c r="L108" s="14" t="s">
        <v>1422</v>
      </c>
      <c r="M108" s="14" t="s">
        <v>1460</v>
      </c>
      <c r="N108" s="2" t="s">
        <v>1499</v>
      </c>
      <c r="O108" s="10">
        <v>11</v>
      </c>
      <c r="U108" s="45">
        <f t="shared" si="41"/>
        <v>594</v>
      </c>
      <c r="V108" s="45">
        <f t="shared" si="42"/>
        <v>54</v>
      </c>
      <c r="W108" s="23">
        <f>(20*V108)/36</f>
        <v>30</v>
      </c>
      <c r="X108" s="6">
        <f>4+10/20</f>
        <v>4.5</v>
      </c>
      <c r="AB108" s="45"/>
      <c r="AF108" s="23">
        <f>O108*X108</f>
        <v>49.5</v>
      </c>
      <c r="AG108">
        <v>4</v>
      </c>
      <c r="AH108">
        <v>10</v>
      </c>
      <c r="AI108">
        <v>0</v>
      </c>
      <c r="AJ108" s="23">
        <f t="shared" si="43"/>
        <v>4.5</v>
      </c>
      <c r="AK108" s="23">
        <f>W108/12</f>
        <v>2.5</v>
      </c>
      <c r="AU108" s="7"/>
      <c r="AV108" s="7"/>
      <c r="BB108" s="23"/>
      <c r="BP108" s="34"/>
      <c r="BS108" s="21"/>
      <c r="BW108" s="20">
        <f t="shared" si="44"/>
        <v>594</v>
      </c>
      <c r="BX108" s="20">
        <f t="shared" si="45"/>
        <v>54</v>
      </c>
      <c r="CJ108">
        <f t="shared" si="46"/>
        <v>1421</v>
      </c>
      <c r="CK108" s="2" t="s">
        <v>724</v>
      </c>
      <c r="CL108" t="s">
        <v>1035</v>
      </c>
    </row>
    <row r="109" spans="1:90" ht="12.75">
      <c r="A109" s="15">
        <v>1421</v>
      </c>
      <c r="B109" s="14" t="s">
        <v>952</v>
      </c>
      <c r="C109" s="14" t="s">
        <v>558</v>
      </c>
      <c r="D109" s="14" t="s">
        <v>257</v>
      </c>
      <c r="E109" s="14" t="s">
        <v>283</v>
      </c>
      <c r="F109" s="2" t="s">
        <v>133</v>
      </c>
      <c r="G109" s="2">
        <v>1</v>
      </c>
      <c r="H109" s="2" t="s">
        <v>428</v>
      </c>
      <c r="I109" s="2" t="s">
        <v>696</v>
      </c>
      <c r="J109" s="14" t="s">
        <v>326</v>
      </c>
      <c r="K109" s="2" t="s">
        <v>450</v>
      </c>
      <c r="L109" s="14" t="s">
        <v>410</v>
      </c>
      <c r="M109" s="14" t="s">
        <v>327</v>
      </c>
      <c r="N109" s="2" t="s">
        <v>568</v>
      </c>
      <c r="O109" s="10">
        <v>1</v>
      </c>
      <c r="U109" s="45">
        <f t="shared" si="41"/>
        <v>70.19999999999999</v>
      </c>
      <c r="V109" s="45">
        <f t="shared" si="42"/>
        <v>70.19999999999999</v>
      </c>
      <c r="X109" s="6">
        <f>5+17/20</f>
        <v>5.85</v>
      </c>
      <c r="AB109" s="45"/>
      <c r="AC109">
        <v>5</v>
      </c>
      <c r="AD109">
        <v>17</v>
      </c>
      <c r="AE109">
        <v>0</v>
      </c>
      <c r="AF109" s="23">
        <f>AC109+AD109/20+AE109/240</f>
        <v>5.85</v>
      </c>
      <c r="AG109">
        <v>5</v>
      </c>
      <c r="AH109">
        <v>17</v>
      </c>
      <c r="AI109">
        <v>0</v>
      </c>
      <c r="AJ109" s="23">
        <f t="shared" si="43"/>
        <v>5.85</v>
      </c>
      <c r="AU109" s="7"/>
      <c r="AV109" s="7"/>
      <c r="AX109" s="23">
        <v>5.85</v>
      </c>
      <c r="BP109" s="34"/>
      <c r="BS109" s="21"/>
      <c r="BW109" s="20">
        <f t="shared" si="44"/>
        <v>70.19999999999999</v>
      </c>
      <c r="BX109" s="20">
        <f t="shared" si="45"/>
        <v>70.19999999999999</v>
      </c>
      <c r="CJ109">
        <f t="shared" si="46"/>
        <v>1421</v>
      </c>
      <c r="CK109" s="2" t="s">
        <v>450</v>
      </c>
      <c r="CL109" t="s">
        <v>1031</v>
      </c>
    </row>
    <row r="110" spans="1:89" ht="12.75">
      <c r="A110" s="15">
        <v>1421</v>
      </c>
      <c r="B110" s="14" t="s">
        <v>952</v>
      </c>
      <c r="C110" s="14" t="s">
        <v>558</v>
      </c>
      <c r="D110" s="14" t="s">
        <v>257</v>
      </c>
      <c r="E110" s="14" t="s">
        <v>283</v>
      </c>
      <c r="F110" s="2" t="s">
        <v>134</v>
      </c>
      <c r="G110" s="2">
        <v>1</v>
      </c>
      <c r="H110" s="2" t="s">
        <v>428</v>
      </c>
      <c r="I110" s="2" t="s">
        <v>1559</v>
      </c>
      <c r="J110" s="14" t="s">
        <v>326</v>
      </c>
      <c r="K110" s="2" t="s">
        <v>454</v>
      </c>
      <c r="L110" s="14" t="s">
        <v>410</v>
      </c>
      <c r="M110" s="14" t="s">
        <v>345</v>
      </c>
      <c r="N110" s="2" t="s">
        <v>287</v>
      </c>
      <c r="O110" s="10">
        <v>1</v>
      </c>
      <c r="U110" s="45">
        <f t="shared" si="41"/>
        <v>51</v>
      </c>
      <c r="V110" s="45">
        <f t="shared" si="42"/>
        <v>51</v>
      </c>
      <c r="X110" s="6">
        <f>4+5/20</f>
        <v>4.25</v>
      </c>
      <c r="AB110" s="45"/>
      <c r="AC110">
        <v>4</v>
      </c>
      <c r="AD110">
        <v>5</v>
      </c>
      <c r="AE110">
        <v>0</v>
      </c>
      <c r="AF110" s="23">
        <f>AC110+AD110/20+AE110/240</f>
        <v>4.25</v>
      </c>
      <c r="AG110">
        <v>4</v>
      </c>
      <c r="AH110">
        <v>5</v>
      </c>
      <c r="AI110">
        <v>0</v>
      </c>
      <c r="AJ110" s="23">
        <f t="shared" si="43"/>
        <v>4.25</v>
      </c>
      <c r="AU110" s="7"/>
      <c r="AV110" s="7"/>
      <c r="BB110" s="23">
        <v>4.25</v>
      </c>
      <c r="BP110" s="34"/>
      <c r="BS110" s="21"/>
      <c r="BW110" s="20">
        <f t="shared" si="44"/>
        <v>51</v>
      </c>
      <c r="BX110" s="20">
        <f t="shared" si="45"/>
        <v>51</v>
      </c>
      <c r="CJ110">
        <f t="shared" si="46"/>
        <v>1421</v>
      </c>
      <c r="CK110" s="2" t="s">
        <v>454</v>
      </c>
    </row>
    <row r="111" spans="1:89" ht="12.75">
      <c r="A111" s="15">
        <v>1421</v>
      </c>
      <c r="B111" s="14" t="s">
        <v>952</v>
      </c>
      <c r="C111" s="14" t="s">
        <v>558</v>
      </c>
      <c r="D111" s="14" t="s">
        <v>257</v>
      </c>
      <c r="E111" s="14" t="s">
        <v>283</v>
      </c>
      <c r="F111" s="2" t="s">
        <v>135</v>
      </c>
      <c r="G111" s="2">
        <v>1</v>
      </c>
      <c r="H111" s="2" t="s">
        <v>3</v>
      </c>
      <c r="I111" s="2" t="s">
        <v>1557</v>
      </c>
      <c r="J111" s="14" t="s">
        <v>326</v>
      </c>
      <c r="K111" s="2" t="s">
        <v>623</v>
      </c>
      <c r="L111" s="14" t="s">
        <v>1422</v>
      </c>
      <c r="M111" s="14" t="s">
        <v>327</v>
      </c>
      <c r="N111" s="2" t="s">
        <v>634</v>
      </c>
      <c r="O111" s="10">
        <v>1</v>
      </c>
      <c r="U111" s="45">
        <f t="shared" si="41"/>
        <v>46.8</v>
      </c>
      <c r="V111" s="45">
        <f t="shared" si="42"/>
        <v>46.8</v>
      </c>
      <c r="X111" s="6">
        <f>3+18/20</f>
        <v>3.9</v>
      </c>
      <c r="AB111" s="45"/>
      <c r="AC111">
        <v>3</v>
      </c>
      <c r="AD111">
        <v>18</v>
      </c>
      <c r="AE111">
        <v>0</v>
      </c>
      <c r="AF111" s="23">
        <f>AC111+AD111/20+AE111/240</f>
        <v>3.9</v>
      </c>
      <c r="AG111">
        <v>3</v>
      </c>
      <c r="AH111">
        <v>18</v>
      </c>
      <c r="AI111">
        <v>0</v>
      </c>
      <c r="AJ111" s="23">
        <f t="shared" si="43"/>
        <v>3.9</v>
      </c>
      <c r="AU111" s="7"/>
      <c r="AV111" s="7"/>
      <c r="AX111" s="23">
        <v>3.9</v>
      </c>
      <c r="BE111" s="23"/>
      <c r="BP111" s="34"/>
      <c r="BS111" s="21"/>
      <c r="BW111" s="20">
        <f t="shared" si="44"/>
        <v>46.8</v>
      </c>
      <c r="BX111" s="20">
        <f t="shared" si="45"/>
        <v>46.8</v>
      </c>
      <c r="CJ111">
        <f t="shared" si="46"/>
        <v>1421</v>
      </c>
      <c r="CK111" s="2" t="s">
        <v>623</v>
      </c>
    </row>
    <row r="112" spans="1:89" ht="12.75">
      <c r="A112" s="15"/>
      <c r="E112" s="14"/>
      <c r="F112" s="2"/>
      <c r="G112" s="2"/>
      <c r="K112" s="2"/>
      <c r="U112" s="45"/>
      <c r="V112" s="45"/>
      <c r="X112" s="6"/>
      <c r="AB112" s="45"/>
      <c r="AF112" s="23"/>
      <c r="AJ112" s="23"/>
      <c r="AU112" s="7"/>
      <c r="AV112" s="7"/>
      <c r="BF112" s="23"/>
      <c r="BP112" s="34"/>
      <c r="BS112" s="21"/>
      <c r="BW112" s="20"/>
      <c r="BX112" s="20"/>
      <c r="CK112" s="2"/>
    </row>
    <row r="113" spans="1:89" ht="12.75">
      <c r="A113" s="15">
        <v>1421</v>
      </c>
      <c r="B113" s="14" t="s">
        <v>952</v>
      </c>
      <c r="C113" s="14" t="s">
        <v>558</v>
      </c>
      <c r="D113" s="14" t="s">
        <v>257</v>
      </c>
      <c r="E113" s="14" t="s">
        <v>283</v>
      </c>
      <c r="F113" s="2" t="s">
        <v>136</v>
      </c>
      <c r="G113" s="2">
        <v>2</v>
      </c>
      <c r="H113" s="2" t="s">
        <v>428</v>
      </c>
      <c r="I113" s="2" t="s">
        <v>531</v>
      </c>
      <c r="J113" s="14" t="s">
        <v>326</v>
      </c>
      <c r="K113" s="2" t="s">
        <v>490</v>
      </c>
      <c r="L113" s="14" t="s">
        <v>410</v>
      </c>
      <c r="M113" s="14" t="s">
        <v>1177</v>
      </c>
      <c r="N113" s="2" t="s">
        <v>1361</v>
      </c>
      <c r="O113" s="10">
        <v>1</v>
      </c>
      <c r="U113" s="45">
        <f>O113*V113</f>
        <v>45.599999999999994</v>
      </c>
      <c r="V113" s="45">
        <f>12*X113</f>
        <v>45.599999999999994</v>
      </c>
      <c r="X113" s="6">
        <f>3+16/20</f>
        <v>3.8</v>
      </c>
      <c r="AB113" s="45"/>
      <c r="AC113">
        <v>3</v>
      </c>
      <c r="AD113">
        <v>16</v>
      </c>
      <c r="AE113">
        <v>0</v>
      </c>
      <c r="AF113" s="23">
        <f>AC113+AD113/20+AE113/240</f>
        <v>3.8</v>
      </c>
      <c r="AG113">
        <v>3</v>
      </c>
      <c r="AH113">
        <v>16</v>
      </c>
      <c r="AI113">
        <v>0</v>
      </c>
      <c r="AJ113" s="23">
        <f>X113*1</f>
        <v>3.8</v>
      </c>
      <c r="AU113" s="7"/>
      <c r="AV113" s="7"/>
      <c r="BE113" s="23">
        <v>3.8</v>
      </c>
      <c r="BG113" s="23"/>
      <c r="BP113" s="34"/>
      <c r="BS113" s="21"/>
      <c r="BW113" s="20">
        <f>U113+(BO113*12*O113)+BT113</f>
        <v>45.599999999999994</v>
      </c>
      <c r="BX113" s="20">
        <f>BW113/O113</f>
        <v>45.599999999999994</v>
      </c>
      <c r="CJ113">
        <f>A113*1</f>
        <v>1421</v>
      </c>
      <c r="CK113" s="2" t="s">
        <v>490</v>
      </c>
    </row>
    <row r="114" spans="1:89" ht="12.75">
      <c r="A114" s="15">
        <v>1421</v>
      </c>
      <c r="B114" s="14" t="s">
        <v>952</v>
      </c>
      <c r="C114" s="14" t="s">
        <v>558</v>
      </c>
      <c r="D114" s="14" t="s">
        <v>257</v>
      </c>
      <c r="E114" s="14" t="s">
        <v>283</v>
      </c>
      <c r="F114" s="2" t="s">
        <v>137</v>
      </c>
      <c r="G114" s="2">
        <v>2</v>
      </c>
      <c r="H114" s="2" t="s">
        <v>612</v>
      </c>
      <c r="I114" s="2" t="s">
        <v>1241</v>
      </c>
      <c r="J114" s="14" t="s">
        <v>326</v>
      </c>
      <c r="K114" s="2" t="s">
        <v>616</v>
      </c>
      <c r="L114" s="14" t="s">
        <v>565</v>
      </c>
      <c r="M114" s="14" t="s">
        <v>1177</v>
      </c>
      <c r="N114" s="2" t="s">
        <v>1478</v>
      </c>
      <c r="O114" s="10">
        <v>4</v>
      </c>
      <c r="U114" s="45">
        <f>O114*V114</f>
        <v>129.60000000000002</v>
      </c>
      <c r="V114" s="45">
        <f>12*X114</f>
        <v>32.400000000000006</v>
      </c>
      <c r="X114" s="6">
        <f>2+14/20</f>
        <v>2.7</v>
      </c>
      <c r="AB114" s="45"/>
      <c r="AF114" s="23">
        <f>O114*X114</f>
        <v>10.8</v>
      </c>
      <c r="AG114">
        <v>2</v>
      </c>
      <c r="AH114">
        <v>14</v>
      </c>
      <c r="AI114">
        <v>0</v>
      </c>
      <c r="AJ114" s="23">
        <f>X114*1</f>
        <v>2.7</v>
      </c>
      <c r="AU114" s="7"/>
      <c r="AV114" s="7"/>
      <c r="BG114" s="23">
        <v>2.7</v>
      </c>
      <c r="BP114" s="34"/>
      <c r="BS114" s="21"/>
      <c r="BW114" s="20">
        <f>U114+(BO114*12*O114)+BT114</f>
        <v>129.60000000000002</v>
      </c>
      <c r="BX114" s="20">
        <f>BW114/O114</f>
        <v>32.400000000000006</v>
      </c>
      <c r="CJ114">
        <f>A114*1</f>
        <v>1421</v>
      </c>
      <c r="CK114" s="2" t="s">
        <v>616</v>
      </c>
    </row>
    <row r="115" spans="1:89" ht="12.75">
      <c r="A115" s="15">
        <v>1421</v>
      </c>
      <c r="B115" s="14" t="s">
        <v>952</v>
      </c>
      <c r="C115" s="14" t="s">
        <v>558</v>
      </c>
      <c r="D115" s="14" t="s">
        <v>257</v>
      </c>
      <c r="E115" s="14" t="s">
        <v>283</v>
      </c>
      <c r="F115" s="2" t="s">
        <v>138</v>
      </c>
      <c r="G115" s="2">
        <v>2</v>
      </c>
      <c r="H115" s="2" t="s">
        <v>591</v>
      </c>
      <c r="I115" s="2" t="s">
        <v>1238</v>
      </c>
      <c r="J115" s="14" t="s">
        <v>326</v>
      </c>
      <c r="K115" s="2" t="s">
        <v>603</v>
      </c>
      <c r="L115" s="14" t="s">
        <v>585</v>
      </c>
      <c r="M115" s="14" t="s">
        <v>1177</v>
      </c>
      <c r="N115" s="2" t="s">
        <v>762</v>
      </c>
      <c r="O115" s="10">
        <v>1</v>
      </c>
      <c r="U115" s="45">
        <f>O115*V115</f>
        <v>16.799999999999997</v>
      </c>
      <c r="V115" s="45">
        <f>12*X115</f>
        <v>16.799999999999997</v>
      </c>
      <c r="X115" s="6">
        <f>1+8/20</f>
        <v>1.4</v>
      </c>
      <c r="AB115" s="45"/>
      <c r="AC115">
        <v>1</v>
      </c>
      <c r="AD115">
        <v>8</v>
      </c>
      <c r="AE115">
        <v>0</v>
      </c>
      <c r="AF115" s="23">
        <f>AC115+AD115/20+AE115/240</f>
        <v>1.4</v>
      </c>
      <c r="AG115">
        <v>1</v>
      </c>
      <c r="AH115">
        <v>8</v>
      </c>
      <c r="AI115">
        <v>0</v>
      </c>
      <c r="AJ115" s="23">
        <f>X115*1</f>
        <v>1.4</v>
      </c>
      <c r="AU115" s="7"/>
      <c r="AV115" s="7"/>
      <c r="BC115" s="23"/>
      <c r="BG115" s="23">
        <v>1.4</v>
      </c>
      <c r="BP115" s="34"/>
      <c r="BS115" s="21"/>
      <c r="BW115" s="20">
        <f>U115+(BO115*12*O115)+BT115</f>
        <v>16.799999999999997</v>
      </c>
      <c r="BX115" s="20">
        <f>BW115/O115</f>
        <v>16.799999999999997</v>
      </c>
      <c r="CJ115">
        <f>A115*1</f>
        <v>1421</v>
      </c>
      <c r="CK115" s="2" t="s">
        <v>603</v>
      </c>
    </row>
    <row r="116" spans="1:90" ht="12.75">
      <c r="A116" s="15">
        <v>1421</v>
      </c>
      <c r="B116" s="14" t="s">
        <v>952</v>
      </c>
      <c r="C116" s="14" t="s">
        <v>558</v>
      </c>
      <c r="D116" s="14" t="s">
        <v>257</v>
      </c>
      <c r="E116" s="14" t="s">
        <v>283</v>
      </c>
      <c r="F116" s="2" t="s">
        <v>139</v>
      </c>
      <c r="G116" s="2">
        <v>2</v>
      </c>
      <c r="H116" s="2" t="s">
        <v>591</v>
      </c>
      <c r="I116" s="2" t="s">
        <v>374</v>
      </c>
      <c r="J116" s="14" t="s">
        <v>326</v>
      </c>
      <c r="K116" s="2" t="s">
        <v>592</v>
      </c>
      <c r="L116" s="14" t="s">
        <v>585</v>
      </c>
      <c r="M116" s="14" t="s">
        <v>328</v>
      </c>
      <c r="N116" s="2" t="s">
        <v>251</v>
      </c>
      <c r="O116" s="10" t="s">
        <v>3</v>
      </c>
      <c r="V116" s="45">
        <f>12*X116</f>
        <v>17.4</v>
      </c>
      <c r="X116" s="6">
        <f>1+9/20</f>
        <v>1.45</v>
      </c>
      <c r="AB116" s="45"/>
      <c r="AF116" s="23"/>
      <c r="AG116">
        <v>1</v>
      </c>
      <c r="AH116">
        <v>9</v>
      </c>
      <c r="AI116">
        <v>0</v>
      </c>
      <c r="AJ116" s="23">
        <f>X116*1</f>
        <v>1.45</v>
      </c>
      <c r="AK116" s="23"/>
      <c r="AU116" s="7"/>
      <c r="AV116" s="7"/>
      <c r="BD116" s="23"/>
      <c r="BG116" s="23">
        <v>1.45</v>
      </c>
      <c r="BP116" s="34"/>
      <c r="BS116" s="21"/>
      <c r="BX116" s="20">
        <f>1*V116</f>
        <v>17.4</v>
      </c>
      <c r="CJ116">
        <f>A116*1</f>
        <v>1421</v>
      </c>
      <c r="CK116" s="2" t="s">
        <v>592</v>
      </c>
      <c r="CL116" t="s">
        <v>1019</v>
      </c>
    </row>
    <row r="117" spans="1:89" ht="12.75">
      <c r="A117" s="15">
        <v>1421</v>
      </c>
      <c r="B117" s="14" t="s">
        <v>952</v>
      </c>
      <c r="C117" s="14" t="s">
        <v>558</v>
      </c>
      <c r="D117" s="14" t="s">
        <v>257</v>
      </c>
      <c r="E117" s="14" t="s">
        <v>283</v>
      </c>
      <c r="F117" s="2" t="s">
        <v>140</v>
      </c>
      <c r="G117" s="2">
        <v>2</v>
      </c>
      <c r="H117" s="2" t="s">
        <v>428</v>
      </c>
      <c r="I117" s="2" t="s">
        <v>1517</v>
      </c>
      <c r="J117" s="14" t="s">
        <v>326</v>
      </c>
      <c r="K117" s="2" t="s">
        <v>495</v>
      </c>
      <c r="L117" s="14" t="s">
        <v>410</v>
      </c>
      <c r="M117" s="14" t="s">
        <v>1462</v>
      </c>
      <c r="N117" s="2" t="s">
        <v>1301</v>
      </c>
      <c r="O117" s="10">
        <v>50</v>
      </c>
      <c r="U117" s="45">
        <f>O117*V117</f>
        <v>2160</v>
      </c>
      <c r="V117" s="45">
        <f>12*X117</f>
        <v>43.2</v>
      </c>
      <c r="X117" s="6">
        <f>3+12/20</f>
        <v>3.6</v>
      </c>
      <c r="AB117" s="45"/>
      <c r="AF117" s="23">
        <f>X117*O117</f>
        <v>180</v>
      </c>
      <c r="AG117">
        <v>3</v>
      </c>
      <c r="AH117">
        <v>12</v>
      </c>
      <c r="AI117">
        <v>0</v>
      </c>
      <c r="AJ117" s="23">
        <f>X117*1</f>
        <v>3.6</v>
      </c>
      <c r="AU117" s="7"/>
      <c r="AV117" s="7"/>
      <c r="BC117" s="23">
        <v>3.6</v>
      </c>
      <c r="BG117" s="23"/>
      <c r="BP117" s="34"/>
      <c r="BS117" s="21"/>
      <c r="BW117" s="20">
        <f>U117+(BO117*12*O117)+BT117</f>
        <v>2160</v>
      </c>
      <c r="BX117" s="20">
        <f>BW117/O117</f>
        <v>43.2</v>
      </c>
      <c r="CJ117">
        <f>A117*1</f>
        <v>1421</v>
      </c>
      <c r="CK117" s="2" t="s">
        <v>495</v>
      </c>
    </row>
    <row r="118" spans="1:89" ht="12.75">
      <c r="A118" s="15"/>
      <c r="E118" s="14"/>
      <c r="F118" s="2"/>
      <c r="G118" s="2"/>
      <c r="K118" s="2"/>
      <c r="U118" s="45"/>
      <c r="V118" s="45"/>
      <c r="X118" s="6"/>
      <c r="AB118" s="45"/>
      <c r="AU118" s="7"/>
      <c r="AV118" s="7"/>
      <c r="BG118" s="23"/>
      <c r="BP118" s="34"/>
      <c r="BS118" s="21"/>
      <c r="BW118" s="20"/>
      <c r="BX118" s="20"/>
      <c r="CK118" s="2"/>
    </row>
    <row r="119" spans="1:89" ht="12.75">
      <c r="A119" s="15">
        <v>1420</v>
      </c>
      <c r="B119" s="14" t="s">
        <v>1076</v>
      </c>
      <c r="C119" s="14" t="s">
        <v>1267</v>
      </c>
      <c r="D119" s="14" t="s">
        <v>40</v>
      </c>
      <c r="E119" s="14" t="s">
        <v>268</v>
      </c>
      <c r="F119" s="2" t="s">
        <v>141</v>
      </c>
      <c r="G119" s="2"/>
      <c r="H119" s="2" t="s">
        <v>1254</v>
      </c>
      <c r="I119" s="2" t="s">
        <v>404</v>
      </c>
      <c r="J119" s="14" t="s">
        <v>326</v>
      </c>
      <c r="K119" s="2" t="s">
        <v>1263</v>
      </c>
      <c r="L119" s="14" t="s">
        <v>1226</v>
      </c>
      <c r="M119" s="14" t="s">
        <v>1107</v>
      </c>
      <c r="N119" s="2" t="s">
        <v>1293</v>
      </c>
      <c r="O119" s="10">
        <v>3</v>
      </c>
      <c r="U119" s="45">
        <f>O119*V119</f>
        <v>84.14999999999999</v>
      </c>
      <c r="V119" s="45">
        <f>12*X119</f>
        <v>28.049999999999997</v>
      </c>
      <c r="X119" s="6">
        <f>2+6/20+9/240</f>
        <v>2.3375</v>
      </c>
      <c r="AB119" s="45"/>
      <c r="AC119">
        <v>7</v>
      </c>
      <c r="AD119">
        <v>0</v>
      </c>
      <c r="AE119">
        <v>3</v>
      </c>
      <c r="AF119" s="23">
        <f>AC119+AD119/20+AE119/240</f>
        <v>7.0125</v>
      </c>
      <c r="AG119">
        <v>2</v>
      </c>
      <c r="AH119">
        <v>6</v>
      </c>
      <c r="AI119">
        <v>9</v>
      </c>
      <c r="AJ119" s="23">
        <f>X119*1</f>
        <v>2.3375</v>
      </c>
      <c r="AU119" s="7"/>
      <c r="AV119" s="7"/>
      <c r="BD119" s="23">
        <v>2.3375</v>
      </c>
      <c r="BP119" s="34"/>
      <c r="BS119" s="21"/>
      <c r="BW119" s="20">
        <f>U119+(BO119*12*O119)+BT119</f>
        <v>84.14999999999999</v>
      </c>
      <c r="BX119" s="20">
        <f>BW119/O119</f>
        <v>28.049999999999997</v>
      </c>
      <c r="CJ119">
        <f>A119*1</f>
        <v>1420</v>
      </c>
      <c r="CK119" s="2" t="s">
        <v>1263</v>
      </c>
    </row>
    <row r="120" spans="1:89" ht="12.75">
      <c r="A120" s="15"/>
      <c r="E120" s="14"/>
      <c r="F120" s="2"/>
      <c r="G120" s="2"/>
      <c r="K120" s="2"/>
      <c r="U120" s="45"/>
      <c r="V120" s="45"/>
      <c r="X120" s="6"/>
      <c r="AB120" s="45"/>
      <c r="AF120" s="23"/>
      <c r="AJ120" s="23"/>
      <c r="AU120" s="7"/>
      <c r="AV120" s="7"/>
      <c r="BD120" s="23"/>
      <c r="BP120" s="34"/>
      <c r="BS120" s="21"/>
      <c r="BW120" s="20"/>
      <c r="BX120" s="20"/>
      <c r="CK120" s="2"/>
    </row>
    <row r="121" spans="1:89" ht="12.75">
      <c r="A121" s="15" t="s">
        <v>40</v>
      </c>
      <c r="B121" s="14" t="s">
        <v>3</v>
      </c>
      <c r="C121" s="14" t="s">
        <v>1267</v>
      </c>
      <c r="D121" s="14" t="s">
        <v>40</v>
      </c>
      <c r="E121" s="14" t="s">
        <v>268</v>
      </c>
      <c r="F121" s="2" t="s">
        <v>142</v>
      </c>
      <c r="G121" s="2"/>
      <c r="H121" s="2" t="s">
        <v>428</v>
      </c>
      <c r="I121" s="2" t="s">
        <v>1236</v>
      </c>
      <c r="J121" s="14" t="s">
        <v>326</v>
      </c>
      <c r="K121" s="2" t="s">
        <v>490</v>
      </c>
      <c r="L121" s="14" t="s">
        <v>410</v>
      </c>
      <c r="M121" s="14" t="s">
        <v>1177</v>
      </c>
      <c r="N121" s="2" t="s">
        <v>1293</v>
      </c>
      <c r="O121" s="10">
        <v>3</v>
      </c>
      <c r="U121" s="45">
        <f>O121*V121</f>
        <v>122.39999999999999</v>
      </c>
      <c r="V121" s="45">
        <f>12*X121</f>
        <v>40.8</v>
      </c>
      <c r="X121" s="6">
        <f>3+8/20</f>
        <v>3.4</v>
      </c>
      <c r="AB121" s="45"/>
      <c r="AC121">
        <v>10</v>
      </c>
      <c r="AD121">
        <v>4</v>
      </c>
      <c r="AE121">
        <v>0</v>
      </c>
      <c r="AF121" s="23">
        <f>AC121+AD121/20+AE121/240</f>
        <v>10.2</v>
      </c>
      <c r="AG121">
        <v>3</v>
      </c>
      <c r="AH121">
        <v>8</v>
      </c>
      <c r="AI121">
        <v>0</v>
      </c>
      <c r="AJ121" s="23">
        <f>X121*1</f>
        <v>3.4</v>
      </c>
      <c r="AK121" s="23"/>
      <c r="AU121" s="7"/>
      <c r="AV121" s="7"/>
      <c r="BD121" s="23">
        <v>3.4</v>
      </c>
      <c r="BP121" s="34"/>
      <c r="BS121" s="21"/>
      <c r="BW121" s="20">
        <f>U121+(BO121*12*O121)+BT121</f>
        <v>122.39999999999999</v>
      </c>
      <c r="BX121" s="20">
        <f>BW121/O121</f>
        <v>40.8</v>
      </c>
      <c r="CJ121" s="17" t="s">
        <v>40</v>
      </c>
      <c r="CK121" s="2" t="s">
        <v>490</v>
      </c>
    </row>
    <row r="122" spans="1:89" ht="12.75">
      <c r="A122" s="15"/>
      <c r="E122" s="14"/>
      <c r="F122" s="2"/>
      <c r="G122" s="2"/>
      <c r="K122" s="2"/>
      <c r="U122" s="45"/>
      <c r="V122" s="45"/>
      <c r="X122" s="6"/>
      <c r="AB122" s="45"/>
      <c r="AU122" s="7"/>
      <c r="AV122" s="7"/>
      <c r="BP122" s="34"/>
      <c r="BS122" s="21"/>
      <c r="BW122" s="20"/>
      <c r="BX122" s="20"/>
      <c r="CK122" s="2"/>
    </row>
    <row r="123" spans="1:90" ht="12.75">
      <c r="A123" s="15">
        <v>1421</v>
      </c>
      <c r="B123" s="14" t="s">
        <v>1076</v>
      </c>
      <c r="C123" s="14" t="s">
        <v>558</v>
      </c>
      <c r="D123" s="14" t="s">
        <v>258</v>
      </c>
      <c r="E123" s="14" t="s">
        <v>279</v>
      </c>
      <c r="F123" s="2" t="s">
        <v>143</v>
      </c>
      <c r="G123" s="2">
        <v>1</v>
      </c>
      <c r="H123" s="2" t="s">
        <v>428</v>
      </c>
      <c r="I123" s="2" t="s">
        <v>711</v>
      </c>
      <c r="J123" s="14" t="s">
        <v>326</v>
      </c>
      <c r="K123" s="2" t="s">
        <v>463</v>
      </c>
      <c r="L123" s="14" t="s">
        <v>408</v>
      </c>
      <c r="M123" s="14" t="s">
        <v>758</v>
      </c>
      <c r="N123" s="2" t="s">
        <v>1494</v>
      </c>
      <c r="O123" s="10">
        <v>11</v>
      </c>
      <c r="U123" s="45">
        <f aca="true" t="shared" si="47" ref="U123:U128">O123*V123</f>
        <v>607.1999999999999</v>
      </c>
      <c r="V123" s="45">
        <f aca="true" t="shared" si="48" ref="V123:V128">12*X123</f>
        <v>55.199999999999996</v>
      </c>
      <c r="X123" s="6">
        <f>4+12/20</f>
        <v>4.6</v>
      </c>
      <c r="AB123" s="45"/>
      <c r="AC123">
        <v>50</v>
      </c>
      <c r="AD123">
        <v>12</v>
      </c>
      <c r="AE123">
        <v>0</v>
      </c>
      <c r="AF123" s="23">
        <f>AC123+AD123/20+AE123/240</f>
        <v>50.6</v>
      </c>
      <c r="AG123">
        <v>4</v>
      </c>
      <c r="AH123">
        <v>12</v>
      </c>
      <c r="AI123">
        <v>0</v>
      </c>
      <c r="AJ123" s="23">
        <f aca="true" t="shared" si="49" ref="AJ123:AJ128">X123*1</f>
        <v>4.6</v>
      </c>
      <c r="AK123" s="23"/>
      <c r="AU123" s="7"/>
      <c r="AV123" s="7"/>
      <c r="BD123" s="23"/>
      <c r="BP123" s="34"/>
      <c r="BS123" s="21"/>
      <c r="BW123" s="20">
        <f aca="true" t="shared" si="50" ref="BW123:BW128">U123+(BO123*12*O123)+BT123</f>
        <v>607.1999999999999</v>
      </c>
      <c r="BX123" s="20">
        <f aca="true" t="shared" si="51" ref="BX123:BX128">BW123/O123</f>
        <v>55.199999999999996</v>
      </c>
      <c r="CJ123">
        <f aca="true" t="shared" si="52" ref="CJ123:CJ133">A123*1</f>
        <v>1421</v>
      </c>
      <c r="CK123" s="2" t="s">
        <v>463</v>
      </c>
      <c r="CL123" t="s">
        <v>1022</v>
      </c>
    </row>
    <row r="124" spans="1:89" ht="12.75">
      <c r="A124" s="15">
        <v>1421</v>
      </c>
      <c r="B124" s="14" t="s">
        <v>1076</v>
      </c>
      <c r="C124" s="14" t="s">
        <v>558</v>
      </c>
      <c r="D124" s="14" t="s">
        <v>258</v>
      </c>
      <c r="E124" s="14" t="s">
        <v>279</v>
      </c>
      <c r="F124" s="2" t="s">
        <v>144</v>
      </c>
      <c r="G124" s="2">
        <v>1</v>
      </c>
      <c r="H124" s="2" t="s">
        <v>428</v>
      </c>
      <c r="I124" s="2" t="s">
        <v>1285</v>
      </c>
      <c r="J124" s="14" t="s">
        <v>326</v>
      </c>
      <c r="K124" s="2" t="s">
        <v>436</v>
      </c>
      <c r="L124" s="14" t="s">
        <v>410</v>
      </c>
      <c r="M124" s="14" t="s">
        <v>343</v>
      </c>
      <c r="N124" s="2" t="s">
        <v>1494</v>
      </c>
      <c r="O124" s="10">
        <v>11</v>
      </c>
      <c r="U124" s="45">
        <f t="shared" si="47"/>
        <v>448.79999999999995</v>
      </c>
      <c r="V124" s="45">
        <f t="shared" si="48"/>
        <v>40.8</v>
      </c>
      <c r="X124" s="6">
        <f>3+8/20</f>
        <v>3.4</v>
      </c>
      <c r="AB124" s="45"/>
      <c r="AF124" s="23">
        <f>O124*X124</f>
        <v>37.4</v>
      </c>
      <c r="AG124">
        <v>3</v>
      </c>
      <c r="AH124">
        <v>8</v>
      </c>
      <c r="AI124">
        <v>0</v>
      </c>
      <c r="AJ124" s="23">
        <f t="shared" si="49"/>
        <v>3.4</v>
      </c>
      <c r="AU124" s="7"/>
      <c r="AV124" s="7"/>
      <c r="BP124" s="34"/>
      <c r="BS124" s="21"/>
      <c r="BW124" s="20">
        <f t="shared" si="50"/>
        <v>448.79999999999995</v>
      </c>
      <c r="BX124" s="20">
        <f t="shared" si="51"/>
        <v>40.8</v>
      </c>
      <c r="CJ124">
        <f t="shared" si="52"/>
        <v>1421</v>
      </c>
      <c r="CK124" s="2" t="s">
        <v>436</v>
      </c>
    </row>
    <row r="125" spans="1:90" ht="12.75">
      <c r="A125" s="15">
        <v>1421</v>
      </c>
      <c r="B125" s="14" t="s">
        <v>1076</v>
      </c>
      <c r="C125" s="14" t="s">
        <v>558</v>
      </c>
      <c r="D125" s="14" t="s">
        <v>258</v>
      </c>
      <c r="E125" s="14" t="s">
        <v>279</v>
      </c>
      <c r="F125" s="2" t="s">
        <v>145</v>
      </c>
      <c r="G125" s="2">
        <v>1</v>
      </c>
      <c r="H125" s="2" t="s">
        <v>428</v>
      </c>
      <c r="I125" s="2" t="s">
        <v>1236</v>
      </c>
      <c r="J125" s="14" t="s">
        <v>326</v>
      </c>
      <c r="K125" s="2" t="s">
        <v>490</v>
      </c>
      <c r="L125" s="14" t="s">
        <v>410</v>
      </c>
      <c r="M125" s="14" t="s">
        <v>1177</v>
      </c>
      <c r="N125" s="2" t="s">
        <v>1494</v>
      </c>
      <c r="O125" s="10">
        <v>2</v>
      </c>
      <c r="U125" s="45">
        <f t="shared" si="47"/>
        <v>81.6</v>
      </c>
      <c r="V125" s="45">
        <f t="shared" si="48"/>
        <v>40.8</v>
      </c>
      <c r="X125" s="6">
        <f>3+8/20</f>
        <v>3.4</v>
      </c>
      <c r="AB125" s="45"/>
      <c r="AF125" s="23">
        <f>O125*X125</f>
        <v>6.8</v>
      </c>
      <c r="AG125">
        <v>3</v>
      </c>
      <c r="AH125">
        <v>8</v>
      </c>
      <c r="AI125">
        <v>0</v>
      </c>
      <c r="AJ125" s="23">
        <f t="shared" si="49"/>
        <v>3.4</v>
      </c>
      <c r="AK125" s="23"/>
      <c r="AU125" s="23"/>
      <c r="AV125" s="7"/>
      <c r="AY125" s="23"/>
      <c r="BP125" s="34"/>
      <c r="BS125" s="21"/>
      <c r="BW125" s="20">
        <f t="shared" si="50"/>
        <v>81.6</v>
      </c>
      <c r="BX125" s="20">
        <f t="shared" si="51"/>
        <v>40.8</v>
      </c>
      <c r="CJ125">
        <f t="shared" si="52"/>
        <v>1421</v>
      </c>
      <c r="CK125" s="2" t="s">
        <v>490</v>
      </c>
      <c r="CL125" t="s">
        <v>1037</v>
      </c>
    </row>
    <row r="126" spans="1:89" ht="12.75">
      <c r="A126" s="15">
        <v>1421</v>
      </c>
      <c r="B126" s="14" t="s">
        <v>1076</v>
      </c>
      <c r="C126" s="14" t="s">
        <v>558</v>
      </c>
      <c r="D126" s="14" t="s">
        <v>258</v>
      </c>
      <c r="E126" s="14" t="s">
        <v>279</v>
      </c>
      <c r="F126" s="2" t="s">
        <v>146</v>
      </c>
      <c r="G126" s="2">
        <v>1</v>
      </c>
      <c r="H126" s="2" t="s">
        <v>428</v>
      </c>
      <c r="I126" s="2" t="s">
        <v>1236</v>
      </c>
      <c r="J126" s="14" t="s">
        <v>326</v>
      </c>
      <c r="K126" s="2" t="s">
        <v>490</v>
      </c>
      <c r="L126" s="14" t="s">
        <v>410</v>
      </c>
      <c r="M126" s="14" t="s">
        <v>1177</v>
      </c>
      <c r="N126" s="2" t="s">
        <v>1494</v>
      </c>
      <c r="O126" s="10">
        <v>1</v>
      </c>
      <c r="U126" s="45">
        <f t="shared" si="47"/>
        <v>34.8</v>
      </c>
      <c r="V126" s="45">
        <f t="shared" si="48"/>
        <v>34.8</v>
      </c>
      <c r="X126" s="6">
        <f>2+18/20</f>
        <v>2.9</v>
      </c>
      <c r="AB126" s="45"/>
      <c r="AF126" s="23">
        <f>O126*X126</f>
        <v>2.9</v>
      </c>
      <c r="AG126">
        <v>2</v>
      </c>
      <c r="AH126">
        <v>18</v>
      </c>
      <c r="AI126">
        <v>0</v>
      </c>
      <c r="AJ126" s="23">
        <f t="shared" si="49"/>
        <v>2.9</v>
      </c>
      <c r="AK126" s="23"/>
      <c r="AU126" s="7"/>
      <c r="AV126" s="7"/>
      <c r="BP126" s="34"/>
      <c r="BS126" s="21"/>
      <c r="BW126" s="20">
        <f t="shared" si="50"/>
        <v>34.8</v>
      </c>
      <c r="BX126" s="20">
        <f t="shared" si="51"/>
        <v>34.8</v>
      </c>
      <c r="CJ126">
        <f t="shared" si="52"/>
        <v>1421</v>
      </c>
      <c r="CK126" s="2" t="s">
        <v>490</v>
      </c>
    </row>
    <row r="127" spans="1:89" ht="12.75">
      <c r="A127" s="15">
        <v>1421</v>
      </c>
      <c r="B127" s="14" t="s">
        <v>1076</v>
      </c>
      <c r="C127" s="14" t="s">
        <v>558</v>
      </c>
      <c r="D127" s="14" t="s">
        <v>258</v>
      </c>
      <c r="E127" s="14" t="s">
        <v>279</v>
      </c>
      <c r="F127" s="2" t="s">
        <v>147</v>
      </c>
      <c r="G127" s="2">
        <v>1</v>
      </c>
      <c r="H127" s="2" t="s">
        <v>428</v>
      </c>
      <c r="I127" s="2" t="s">
        <v>1236</v>
      </c>
      <c r="J127" s="14" t="s">
        <v>326</v>
      </c>
      <c r="K127" s="2" t="s">
        <v>490</v>
      </c>
      <c r="L127" s="14" t="s">
        <v>410</v>
      </c>
      <c r="M127" s="14" t="s">
        <v>1177</v>
      </c>
      <c r="N127" s="2" t="s">
        <v>1494</v>
      </c>
      <c r="O127" s="10">
        <v>2</v>
      </c>
      <c r="U127" s="45">
        <f t="shared" si="47"/>
        <v>79.8</v>
      </c>
      <c r="V127" s="45">
        <f t="shared" si="48"/>
        <v>39.9</v>
      </c>
      <c r="X127" s="6">
        <f>3+6/20+6/240</f>
        <v>3.3249999999999997</v>
      </c>
      <c r="AB127" s="45"/>
      <c r="AF127" s="23">
        <f>O127*X127</f>
        <v>6.6499999999999995</v>
      </c>
      <c r="AG127">
        <v>3</v>
      </c>
      <c r="AH127">
        <v>6</v>
      </c>
      <c r="AI127">
        <v>6</v>
      </c>
      <c r="AJ127" s="23">
        <f t="shared" si="49"/>
        <v>3.3249999999999997</v>
      </c>
      <c r="AK127" s="23"/>
      <c r="AU127" s="7"/>
      <c r="AV127" s="7"/>
      <c r="BP127" s="34"/>
      <c r="BS127" s="21"/>
      <c r="BW127" s="20">
        <f t="shared" si="50"/>
        <v>79.8</v>
      </c>
      <c r="BX127" s="20">
        <f t="shared" si="51"/>
        <v>39.9</v>
      </c>
      <c r="CJ127">
        <f t="shared" si="52"/>
        <v>1421</v>
      </c>
      <c r="CK127" s="2" t="s">
        <v>490</v>
      </c>
    </row>
    <row r="128" spans="1:89" ht="12.75">
      <c r="A128" s="15">
        <v>1421</v>
      </c>
      <c r="B128" s="14" t="s">
        <v>1076</v>
      </c>
      <c r="C128" s="14" t="s">
        <v>558</v>
      </c>
      <c r="D128" s="14" t="s">
        <v>258</v>
      </c>
      <c r="E128" s="14" t="s">
        <v>279</v>
      </c>
      <c r="F128" s="2" t="s">
        <v>148</v>
      </c>
      <c r="G128" s="2">
        <v>1</v>
      </c>
      <c r="H128" s="2" t="s">
        <v>428</v>
      </c>
      <c r="I128" s="2" t="s">
        <v>1236</v>
      </c>
      <c r="J128" s="14" t="s">
        <v>326</v>
      </c>
      <c r="K128" s="2" t="s">
        <v>490</v>
      </c>
      <c r="L128" s="14" t="s">
        <v>410</v>
      </c>
      <c r="M128" s="14" t="s">
        <v>1177</v>
      </c>
      <c r="N128" s="2" t="s">
        <v>1494</v>
      </c>
      <c r="O128" s="10">
        <v>6</v>
      </c>
      <c r="U128" s="45">
        <f t="shared" si="47"/>
        <v>237.59999999999997</v>
      </c>
      <c r="V128" s="45">
        <f t="shared" si="48"/>
        <v>39.599999999999994</v>
      </c>
      <c r="X128" s="6">
        <f>3+6/20</f>
        <v>3.3</v>
      </c>
      <c r="AB128" s="45"/>
      <c r="AF128" s="23">
        <f>O128*X128</f>
        <v>19.799999999999997</v>
      </c>
      <c r="AG128">
        <v>3</v>
      </c>
      <c r="AH128">
        <v>6</v>
      </c>
      <c r="AI128">
        <v>0</v>
      </c>
      <c r="AJ128" s="23">
        <f t="shared" si="49"/>
        <v>3.3</v>
      </c>
      <c r="AU128" s="7"/>
      <c r="AV128" s="7"/>
      <c r="AX128" s="23"/>
      <c r="BP128" s="34"/>
      <c r="BS128" s="21"/>
      <c r="BW128" s="20">
        <f t="shared" si="50"/>
        <v>237.59999999999997</v>
      </c>
      <c r="BX128" s="20">
        <f t="shared" si="51"/>
        <v>39.599999999999994</v>
      </c>
      <c r="CJ128">
        <f t="shared" si="52"/>
        <v>1421</v>
      </c>
      <c r="CK128" s="2" t="s">
        <v>490</v>
      </c>
    </row>
    <row r="129" spans="1:90" ht="12.75">
      <c r="A129" s="15">
        <v>1421</v>
      </c>
      <c r="B129" s="14" t="s">
        <v>1076</v>
      </c>
      <c r="C129" s="14" t="s">
        <v>558</v>
      </c>
      <c r="D129" s="14" t="s">
        <v>258</v>
      </c>
      <c r="E129" s="14" t="s">
        <v>279</v>
      </c>
      <c r="F129" s="2" t="s">
        <v>149</v>
      </c>
      <c r="G129" s="2">
        <v>1</v>
      </c>
      <c r="H129" s="2" t="s">
        <v>428</v>
      </c>
      <c r="I129" s="2" t="s">
        <v>382</v>
      </c>
      <c r="J129" s="14" t="s">
        <v>326</v>
      </c>
      <c r="K129" s="2" t="s">
        <v>434</v>
      </c>
      <c r="L129" s="14" t="s">
        <v>410</v>
      </c>
      <c r="M129" s="14" t="s">
        <v>327</v>
      </c>
      <c r="N129" s="2" t="s">
        <v>3</v>
      </c>
      <c r="P129" s="10" t="s">
        <v>3</v>
      </c>
      <c r="U129" s="45"/>
      <c r="V129" s="45"/>
      <c r="W129" s="23">
        <f>AK129*12</f>
        <v>28</v>
      </c>
      <c r="X129" s="6"/>
      <c r="AB129" s="45"/>
      <c r="AF129" s="23"/>
      <c r="AK129" s="23">
        <f>2+4/12</f>
        <v>2.3333333333333335</v>
      </c>
      <c r="AU129" s="7"/>
      <c r="AV129" s="7"/>
      <c r="BB129" s="23"/>
      <c r="BP129" s="34"/>
      <c r="BS129" s="21"/>
      <c r="CJ129">
        <f t="shared" si="52"/>
        <v>1421</v>
      </c>
      <c r="CK129" s="2" t="s">
        <v>434</v>
      </c>
      <c r="CL129" t="s">
        <v>1068</v>
      </c>
    </row>
    <row r="130" spans="1:89" ht="12.75">
      <c r="A130" s="15">
        <v>1421</v>
      </c>
      <c r="B130" s="14" t="s">
        <v>1076</v>
      </c>
      <c r="C130" s="14" t="s">
        <v>558</v>
      </c>
      <c r="D130" s="14" t="s">
        <v>258</v>
      </c>
      <c r="E130" s="14" t="s">
        <v>279</v>
      </c>
      <c r="F130" s="2" t="s">
        <v>150</v>
      </c>
      <c r="G130" s="2">
        <v>1</v>
      </c>
      <c r="H130" s="2" t="s">
        <v>428</v>
      </c>
      <c r="I130" s="2" t="s">
        <v>827</v>
      </c>
      <c r="J130" s="14" t="s">
        <v>326</v>
      </c>
      <c r="K130" s="2" t="s">
        <v>473</v>
      </c>
      <c r="L130" s="14" t="s">
        <v>410</v>
      </c>
      <c r="M130" s="14" t="s">
        <v>745</v>
      </c>
      <c r="N130" s="2" t="s">
        <v>943</v>
      </c>
      <c r="O130" s="10">
        <v>1</v>
      </c>
      <c r="U130" s="45">
        <f>O130*V130</f>
        <v>36</v>
      </c>
      <c r="V130" s="45">
        <f>12*X130</f>
        <v>36</v>
      </c>
      <c r="X130" s="6">
        <v>3</v>
      </c>
      <c r="AB130" s="45"/>
      <c r="AC130">
        <v>3</v>
      </c>
      <c r="AD130">
        <v>0</v>
      </c>
      <c r="AE130">
        <v>0</v>
      </c>
      <c r="AF130" s="23">
        <f>AC130+AD130/20+AE130/240</f>
        <v>3</v>
      </c>
      <c r="AG130">
        <v>3</v>
      </c>
      <c r="AH130">
        <v>0</v>
      </c>
      <c r="AI130">
        <v>0</v>
      </c>
      <c r="AJ130" s="23">
        <f>X130*1</f>
        <v>3</v>
      </c>
      <c r="AU130" s="7"/>
      <c r="AV130" s="7"/>
      <c r="AX130" s="23"/>
      <c r="AZ130" s="23">
        <v>3</v>
      </c>
      <c r="BP130" s="34"/>
      <c r="BS130" s="21"/>
      <c r="BW130" s="20">
        <f>U130+(BO130*12*O130)+BT130</f>
        <v>36</v>
      </c>
      <c r="BX130" s="20">
        <f>BW130/O130</f>
        <v>36</v>
      </c>
      <c r="CJ130">
        <f t="shared" si="52"/>
        <v>1421</v>
      </c>
      <c r="CK130" s="2" t="s">
        <v>473</v>
      </c>
    </row>
    <row r="131" spans="1:89" ht="12.75">
      <c r="A131" s="15">
        <v>1421</v>
      </c>
      <c r="B131" s="14" t="s">
        <v>1076</v>
      </c>
      <c r="C131" s="14" t="s">
        <v>558</v>
      </c>
      <c r="D131" s="14" t="s">
        <v>258</v>
      </c>
      <c r="E131" s="14" t="s">
        <v>279</v>
      </c>
      <c r="F131" s="2" t="s">
        <v>151</v>
      </c>
      <c r="G131" s="2">
        <v>1</v>
      </c>
      <c r="H131" s="2" t="s">
        <v>428</v>
      </c>
      <c r="I131" s="2" t="s">
        <v>1125</v>
      </c>
      <c r="J131" s="14" t="s">
        <v>326</v>
      </c>
      <c r="K131" s="2" t="s">
        <v>487</v>
      </c>
      <c r="L131" s="14" t="s">
        <v>410</v>
      </c>
      <c r="M131" s="14" t="s">
        <v>1107</v>
      </c>
      <c r="N131" s="2" t="s">
        <v>287</v>
      </c>
      <c r="O131" s="10">
        <v>1</v>
      </c>
      <c r="U131" s="45">
        <f>O131*V131</f>
        <v>38.400000000000006</v>
      </c>
      <c r="V131" s="45">
        <f>12*X131</f>
        <v>38.400000000000006</v>
      </c>
      <c r="X131" s="6">
        <f>3+4/20</f>
        <v>3.2</v>
      </c>
      <c r="AB131" s="45"/>
      <c r="AC131">
        <v>3</v>
      </c>
      <c r="AD131">
        <v>4</v>
      </c>
      <c r="AE131">
        <v>0</v>
      </c>
      <c r="AF131" s="23">
        <f>AC131+AD131/20+AE131/240</f>
        <v>3.2</v>
      </c>
      <c r="AG131">
        <v>3</v>
      </c>
      <c r="AH131">
        <v>4</v>
      </c>
      <c r="AI131">
        <v>0</v>
      </c>
      <c r="AJ131" s="23">
        <f>X131*1</f>
        <v>3.2</v>
      </c>
      <c r="AU131" s="7"/>
      <c r="AV131" s="7"/>
      <c r="BB131" s="23">
        <v>3.2</v>
      </c>
      <c r="BE131" s="23"/>
      <c r="BP131" s="34"/>
      <c r="BS131" s="21"/>
      <c r="BW131" s="20">
        <f>U131+(BO131*12*O131)+BT131</f>
        <v>38.400000000000006</v>
      </c>
      <c r="BX131" s="20">
        <f>BW131/O131</f>
        <v>38.400000000000006</v>
      </c>
      <c r="CJ131">
        <f t="shared" si="52"/>
        <v>1421</v>
      </c>
      <c r="CK131" s="2" t="s">
        <v>487</v>
      </c>
    </row>
    <row r="132" spans="1:89" ht="12.75">
      <c r="A132" s="15">
        <v>1421</v>
      </c>
      <c r="B132" s="14" t="s">
        <v>1076</v>
      </c>
      <c r="C132" s="14" t="s">
        <v>558</v>
      </c>
      <c r="D132" s="14" t="s">
        <v>258</v>
      </c>
      <c r="E132" s="14" t="s">
        <v>279</v>
      </c>
      <c r="F132" s="2" t="s">
        <v>152</v>
      </c>
      <c r="G132" s="2">
        <v>1</v>
      </c>
      <c r="H132" s="2" t="s">
        <v>1482</v>
      </c>
      <c r="I132" s="2" t="s">
        <v>524</v>
      </c>
      <c r="J132" s="14" t="s">
        <v>326</v>
      </c>
      <c r="K132" s="2" t="s">
        <v>1485</v>
      </c>
      <c r="L132" s="14" t="s">
        <v>1477</v>
      </c>
      <c r="M132" s="14" t="s">
        <v>347</v>
      </c>
      <c r="N132" s="2" t="s">
        <v>276</v>
      </c>
      <c r="O132" s="10">
        <v>1</v>
      </c>
      <c r="U132" s="45">
        <f>O132*V132</f>
        <v>31.200000000000003</v>
      </c>
      <c r="V132" s="45">
        <f>12*X132</f>
        <v>31.200000000000003</v>
      </c>
      <c r="X132" s="6">
        <f>2+12/20</f>
        <v>2.6</v>
      </c>
      <c r="AB132" s="45"/>
      <c r="AC132">
        <v>2</v>
      </c>
      <c r="AD132">
        <v>12</v>
      </c>
      <c r="AE132">
        <v>0</v>
      </c>
      <c r="AF132" s="23">
        <f>AC132+AD132/20+AE132/240</f>
        <v>2.6</v>
      </c>
      <c r="AG132">
        <v>2</v>
      </c>
      <c r="AH132">
        <v>12</v>
      </c>
      <c r="AI132">
        <v>0</v>
      </c>
      <c r="AJ132" s="23">
        <f>X132*1</f>
        <v>2.6</v>
      </c>
      <c r="AU132" s="7"/>
      <c r="AV132" s="7"/>
      <c r="AX132" s="23">
        <v>2.6</v>
      </c>
      <c r="BP132" s="34"/>
      <c r="BS132" s="21"/>
      <c r="BW132" s="20">
        <f>U132+(BO132*12*O132)+BT132</f>
        <v>31.200000000000003</v>
      </c>
      <c r="BX132" s="20">
        <f>BW132/O132</f>
        <v>31.200000000000003</v>
      </c>
      <c r="CJ132">
        <f t="shared" si="52"/>
        <v>1421</v>
      </c>
      <c r="CK132" s="2" t="s">
        <v>1485</v>
      </c>
    </row>
    <row r="133" spans="1:89" ht="12.75">
      <c r="A133" s="15">
        <v>1421</v>
      </c>
      <c r="B133" s="14" t="s">
        <v>1076</v>
      </c>
      <c r="C133" s="14" t="s">
        <v>558</v>
      </c>
      <c r="D133" s="14" t="s">
        <v>258</v>
      </c>
      <c r="E133" s="14" t="s">
        <v>279</v>
      </c>
      <c r="F133" s="2" t="s">
        <v>153</v>
      </c>
      <c r="G133" s="2">
        <v>1</v>
      </c>
      <c r="H133" s="2" t="s">
        <v>1482</v>
      </c>
      <c r="I133" s="2" t="s">
        <v>831</v>
      </c>
      <c r="J133" s="14" t="s">
        <v>326</v>
      </c>
      <c r="K133" s="2" t="s">
        <v>1488</v>
      </c>
      <c r="L133" s="14" t="s">
        <v>1477</v>
      </c>
      <c r="M133" s="14" t="s">
        <v>745</v>
      </c>
      <c r="N133" s="2" t="s">
        <v>1363</v>
      </c>
      <c r="O133" s="10">
        <v>1</v>
      </c>
      <c r="U133" s="45">
        <f>O133*V133</f>
        <v>31.200000000000003</v>
      </c>
      <c r="V133" s="45">
        <f>12*X133</f>
        <v>31.200000000000003</v>
      </c>
      <c r="X133" s="6">
        <f>2+12/20</f>
        <v>2.6</v>
      </c>
      <c r="AB133" s="45"/>
      <c r="AC133">
        <v>2</v>
      </c>
      <c r="AD133">
        <v>12</v>
      </c>
      <c r="AE133">
        <v>0</v>
      </c>
      <c r="AF133" s="23">
        <f>AC133+AD133/20+AE133/240</f>
        <v>2.6</v>
      </c>
      <c r="AG133">
        <v>2</v>
      </c>
      <c r="AH133">
        <v>12</v>
      </c>
      <c r="AI133">
        <v>0</v>
      </c>
      <c r="AJ133" s="23">
        <f>X133*1</f>
        <v>2.6</v>
      </c>
      <c r="AU133" s="7"/>
      <c r="AV133" s="7"/>
      <c r="BE133" s="23">
        <v>2.6</v>
      </c>
      <c r="BF133" s="23"/>
      <c r="BG133" s="23">
        <v>2.6</v>
      </c>
      <c r="BP133" s="34"/>
      <c r="BS133" s="21"/>
      <c r="BW133" s="20">
        <f>U133+(BO133*12*O133)+BT133</f>
        <v>31.200000000000003</v>
      </c>
      <c r="BX133" s="20">
        <f>BW133/O133</f>
        <v>31.200000000000003</v>
      </c>
      <c r="CJ133">
        <f t="shared" si="52"/>
        <v>1421</v>
      </c>
      <c r="CK133" s="2" t="s">
        <v>1488</v>
      </c>
    </row>
    <row r="134" spans="1:89" ht="12.75">
      <c r="A134" s="15"/>
      <c r="E134" s="14"/>
      <c r="F134" s="2"/>
      <c r="G134" s="2"/>
      <c r="K134" s="2"/>
      <c r="U134" s="45"/>
      <c r="X134" s="6"/>
      <c r="AB134" s="45"/>
      <c r="AJ134" s="23"/>
      <c r="AU134" s="7"/>
      <c r="AV134" s="7"/>
      <c r="BG134" s="23"/>
      <c r="BP134" s="34"/>
      <c r="BS134" s="21"/>
      <c r="BW134" s="20"/>
      <c r="BX134" s="20"/>
      <c r="CK134" s="2"/>
    </row>
    <row r="135" spans="1:90" ht="12.75">
      <c r="A135" s="15">
        <v>1421</v>
      </c>
      <c r="B135" s="14" t="s">
        <v>1076</v>
      </c>
      <c r="C135" s="14" t="s">
        <v>558</v>
      </c>
      <c r="D135" s="14" t="s">
        <v>258</v>
      </c>
      <c r="E135" s="14" t="s">
        <v>279</v>
      </c>
      <c r="F135" s="2" t="s">
        <v>154</v>
      </c>
      <c r="G135" s="2">
        <v>2</v>
      </c>
      <c r="H135" s="2" t="s">
        <v>1482</v>
      </c>
      <c r="I135" s="2" t="s">
        <v>512</v>
      </c>
      <c r="J135" s="14" t="s">
        <v>326</v>
      </c>
      <c r="K135" s="2" t="s">
        <v>1486</v>
      </c>
      <c r="L135" s="14" t="s">
        <v>1477</v>
      </c>
      <c r="M135" s="14" t="s">
        <v>351</v>
      </c>
      <c r="N135" s="2" t="s">
        <v>1478</v>
      </c>
      <c r="O135" s="10">
        <v>1</v>
      </c>
      <c r="P135" s="10">
        <v>6</v>
      </c>
      <c r="U135" s="45">
        <f>O135*V135+(12*10/20)</f>
        <v>37.2</v>
      </c>
      <c r="V135" s="45">
        <f>12*X135</f>
        <v>31.200000000000003</v>
      </c>
      <c r="W135" s="23">
        <f>(6*20)/6</f>
        <v>20</v>
      </c>
      <c r="X135" s="6">
        <f>2+12/20</f>
        <v>2.6</v>
      </c>
      <c r="AB135" s="45"/>
      <c r="AC135">
        <v>2</v>
      </c>
      <c r="AD135">
        <v>22</v>
      </c>
      <c r="AE135">
        <v>0</v>
      </c>
      <c r="AF135" s="23">
        <f>AC135+AD135/20+AE135/240</f>
        <v>3.1</v>
      </c>
      <c r="AG135">
        <v>2</v>
      </c>
      <c r="AH135">
        <v>12</v>
      </c>
      <c r="AI135">
        <v>0</v>
      </c>
      <c r="AJ135" s="23">
        <f>X135*1</f>
        <v>2.6</v>
      </c>
      <c r="AK135" s="23">
        <f>W135/12</f>
        <v>1.6666666666666667</v>
      </c>
      <c r="AU135" s="7"/>
      <c r="AV135" s="7"/>
      <c r="BG135" s="23">
        <v>2.6</v>
      </c>
      <c r="BP135" s="34"/>
      <c r="BS135" s="21"/>
      <c r="BW135" s="20">
        <f>U135+(BO135*12*O135)+BT135</f>
        <v>37.2</v>
      </c>
      <c r="BX135" s="20">
        <f>V135*1</f>
        <v>31.200000000000003</v>
      </c>
      <c r="CJ135">
        <f>A135*1</f>
        <v>1421</v>
      </c>
      <c r="CK135" s="2" t="s">
        <v>1486</v>
      </c>
      <c r="CL135" t="s">
        <v>18</v>
      </c>
    </row>
    <row r="136" spans="1:89" ht="12.75">
      <c r="A136" s="15">
        <v>1421</v>
      </c>
      <c r="B136" s="14" t="s">
        <v>1076</v>
      </c>
      <c r="C136" s="14" t="s">
        <v>558</v>
      </c>
      <c r="D136" s="14" t="s">
        <v>258</v>
      </c>
      <c r="E136" s="14" t="s">
        <v>279</v>
      </c>
      <c r="F136" s="2" t="s">
        <v>155</v>
      </c>
      <c r="G136" s="2">
        <v>2</v>
      </c>
      <c r="H136" s="2" t="s">
        <v>591</v>
      </c>
      <c r="I136" s="2" t="s">
        <v>590</v>
      </c>
      <c r="J136" s="14" t="s">
        <v>326</v>
      </c>
      <c r="K136" s="2" t="s">
        <v>598</v>
      </c>
      <c r="L136" s="14" t="s">
        <v>585</v>
      </c>
      <c r="M136" s="14" t="s">
        <v>3</v>
      </c>
      <c r="N136" s="2" t="s">
        <v>762</v>
      </c>
      <c r="O136" s="10">
        <v>3</v>
      </c>
      <c r="U136" s="45">
        <f>O136*V136</f>
        <v>50.39999999999999</v>
      </c>
      <c r="V136" s="45">
        <f>12*X136</f>
        <v>16.799999999999997</v>
      </c>
      <c r="X136" s="6">
        <f>1+8/20</f>
        <v>1.4</v>
      </c>
      <c r="AB136" s="45"/>
      <c r="AF136" s="23">
        <f>O136*X136</f>
        <v>4.199999999999999</v>
      </c>
      <c r="AG136">
        <v>1</v>
      </c>
      <c r="AH136">
        <v>8</v>
      </c>
      <c r="AI136">
        <v>0</v>
      </c>
      <c r="AJ136" s="23">
        <f>X136*1</f>
        <v>1.4</v>
      </c>
      <c r="AU136" s="7"/>
      <c r="AV136" s="7"/>
      <c r="BG136" s="23">
        <v>1.4</v>
      </c>
      <c r="BP136" s="34"/>
      <c r="BS136" s="21"/>
      <c r="BW136" s="20">
        <f>U136+(BO136*12*O136)+BT136</f>
        <v>50.39999999999999</v>
      </c>
      <c r="BX136" s="20">
        <f>BW136/O136</f>
        <v>16.799999999999997</v>
      </c>
      <c r="CJ136">
        <f>A136*1</f>
        <v>1421</v>
      </c>
      <c r="CK136" s="2" t="s">
        <v>598</v>
      </c>
    </row>
    <row r="137" spans="1:89" ht="12.75">
      <c r="A137" s="15">
        <v>1421</v>
      </c>
      <c r="B137" s="14" t="s">
        <v>1076</v>
      </c>
      <c r="C137" s="14" t="s">
        <v>558</v>
      </c>
      <c r="D137" s="14" t="s">
        <v>258</v>
      </c>
      <c r="E137" s="14" t="s">
        <v>279</v>
      </c>
      <c r="F137" s="2" t="s">
        <v>156</v>
      </c>
      <c r="G137" s="2">
        <v>2</v>
      </c>
      <c r="H137" s="2" t="s">
        <v>591</v>
      </c>
      <c r="I137" s="2" t="s">
        <v>590</v>
      </c>
      <c r="J137" s="14" t="s">
        <v>326</v>
      </c>
      <c r="K137" s="2" t="s">
        <v>598</v>
      </c>
      <c r="L137" s="14" t="s">
        <v>585</v>
      </c>
      <c r="M137" s="14" t="s">
        <v>3</v>
      </c>
      <c r="N137" s="2" t="s">
        <v>762</v>
      </c>
      <c r="O137" s="10">
        <v>2</v>
      </c>
      <c r="U137" s="45">
        <f>O137*V137</f>
        <v>34.8</v>
      </c>
      <c r="V137" s="45">
        <f>12*X137</f>
        <v>17.4</v>
      </c>
      <c r="X137" s="6">
        <f>1+9/20</f>
        <v>1.45</v>
      </c>
      <c r="AB137" s="45"/>
      <c r="AF137" s="23">
        <f>O137*X137</f>
        <v>2.9</v>
      </c>
      <c r="AG137">
        <v>1</v>
      </c>
      <c r="AH137">
        <v>9</v>
      </c>
      <c r="AI137">
        <v>0</v>
      </c>
      <c r="AJ137" s="23">
        <f>X137*1</f>
        <v>1.45</v>
      </c>
      <c r="AU137" s="7"/>
      <c r="AV137" s="7"/>
      <c r="BG137" s="23">
        <v>1.45</v>
      </c>
      <c r="BP137" s="34"/>
      <c r="BS137" s="21"/>
      <c r="BW137" s="20">
        <f>U137+(BO137*12*O137)+BT137</f>
        <v>34.8</v>
      </c>
      <c r="BX137" s="20">
        <f>BW137/O137</f>
        <v>17.4</v>
      </c>
      <c r="CJ137">
        <f>A137*1</f>
        <v>1421</v>
      </c>
      <c r="CK137" s="2" t="s">
        <v>598</v>
      </c>
    </row>
    <row r="138" spans="1:89" ht="12.75">
      <c r="A138" s="15"/>
      <c r="E138" s="14"/>
      <c r="F138" s="2"/>
      <c r="G138" s="2"/>
      <c r="K138" s="2"/>
      <c r="X138" s="6"/>
      <c r="AB138" s="45"/>
      <c r="AJ138" s="23"/>
      <c r="AU138" s="7"/>
      <c r="AV138" s="7"/>
      <c r="BG138" s="23"/>
      <c r="BP138" s="34"/>
      <c r="BS138" s="21"/>
      <c r="BW138" s="20"/>
      <c r="BX138" s="20"/>
      <c r="CK138" s="2"/>
    </row>
    <row r="139" spans="1:90" ht="12.75">
      <c r="A139" s="15">
        <v>1422</v>
      </c>
      <c r="B139" s="14" t="s">
        <v>952</v>
      </c>
      <c r="C139" s="14" t="s">
        <v>558</v>
      </c>
      <c r="D139" s="14" t="s">
        <v>258</v>
      </c>
      <c r="E139" s="14" t="s">
        <v>282</v>
      </c>
      <c r="F139" s="2" t="s">
        <v>157</v>
      </c>
      <c r="G139" s="2">
        <v>1</v>
      </c>
      <c r="H139" s="2" t="s">
        <v>1547</v>
      </c>
      <c r="I139" s="2" t="s">
        <v>720</v>
      </c>
      <c r="J139" s="14" t="s">
        <v>326</v>
      </c>
      <c r="K139" s="2" t="s">
        <v>1550</v>
      </c>
      <c r="L139" s="14" t="s">
        <v>1281</v>
      </c>
      <c r="M139" s="14" t="s">
        <v>1183</v>
      </c>
      <c r="N139" s="2" t="s">
        <v>534</v>
      </c>
      <c r="O139" s="10">
        <v>11</v>
      </c>
      <c r="U139" s="45">
        <f aca="true" t="shared" si="53" ref="U139:U146">O139*V139</f>
        <v>1155</v>
      </c>
      <c r="V139" s="45">
        <f aca="true" t="shared" si="54" ref="V139:V146">12*X139</f>
        <v>105</v>
      </c>
      <c r="X139" s="6">
        <f>8+15/20</f>
        <v>8.75</v>
      </c>
      <c r="AB139" s="45"/>
      <c r="AC139">
        <v>96</v>
      </c>
      <c r="AD139">
        <v>5</v>
      </c>
      <c r="AE139">
        <v>0</v>
      </c>
      <c r="AF139" s="23">
        <f>AC139+AD139/20+AE139/240</f>
        <v>96.25</v>
      </c>
      <c r="AG139">
        <v>8</v>
      </c>
      <c r="AH139">
        <v>15</v>
      </c>
      <c r="AI139">
        <v>0</v>
      </c>
      <c r="AJ139" s="23">
        <f aca="true" t="shared" si="55" ref="AJ139:AJ146">X139*1</f>
        <v>8.75</v>
      </c>
      <c r="AU139" s="23">
        <v>8.75</v>
      </c>
      <c r="AV139" s="7"/>
      <c r="BC139" s="23"/>
      <c r="BP139" s="34"/>
      <c r="BS139" s="21"/>
      <c r="BW139" s="20">
        <f aca="true" t="shared" si="56" ref="BW139:BW146">U139+(BO139*12*O139)+BT139</f>
        <v>1155</v>
      </c>
      <c r="BX139" s="20">
        <f aca="true" t="shared" si="57" ref="BX139:BX146">BW139/O139</f>
        <v>105</v>
      </c>
      <c r="CJ139">
        <f aca="true" t="shared" si="58" ref="CJ139:CJ146">A139*1</f>
        <v>1422</v>
      </c>
      <c r="CK139" s="2" t="s">
        <v>1550</v>
      </c>
      <c r="CL139" t="s">
        <v>1038</v>
      </c>
    </row>
    <row r="140" spans="1:90" ht="12.75">
      <c r="A140" s="15">
        <v>1422</v>
      </c>
      <c r="B140" s="14" t="s">
        <v>952</v>
      </c>
      <c r="C140" s="14" t="s">
        <v>558</v>
      </c>
      <c r="D140" s="14" t="s">
        <v>258</v>
      </c>
      <c r="E140" s="14" t="s">
        <v>282</v>
      </c>
      <c r="F140" s="2" t="s">
        <v>158</v>
      </c>
      <c r="G140" s="2">
        <v>1</v>
      </c>
      <c r="H140" s="2" t="s">
        <v>1547</v>
      </c>
      <c r="I140" s="2" t="s">
        <v>720</v>
      </c>
      <c r="J140" s="14" t="s">
        <v>326</v>
      </c>
      <c r="K140" s="2" t="s">
        <v>1550</v>
      </c>
      <c r="L140" s="14" t="s">
        <v>1281</v>
      </c>
      <c r="M140" s="14" t="s">
        <v>1183</v>
      </c>
      <c r="N140" s="2" t="s">
        <v>1427</v>
      </c>
      <c r="O140" s="10">
        <v>5</v>
      </c>
      <c r="U140" s="45">
        <f t="shared" si="53"/>
        <v>525</v>
      </c>
      <c r="V140" s="45">
        <f t="shared" si="54"/>
        <v>105</v>
      </c>
      <c r="X140" s="6">
        <f>8+15/20</f>
        <v>8.75</v>
      </c>
      <c r="AB140" s="45"/>
      <c r="AF140" s="23">
        <f>X140*O140</f>
        <v>43.75</v>
      </c>
      <c r="AG140">
        <v>8</v>
      </c>
      <c r="AH140">
        <v>15</v>
      </c>
      <c r="AI140">
        <v>0</v>
      </c>
      <c r="AJ140" s="23">
        <f t="shared" si="55"/>
        <v>8.75</v>
      </c>
      <c r="AU140" s="23">
        <v>8.75</v>
      </c>
      <c r="AV140" s="7"/>
      <c r="AY140" s="23">
        <v>8.75</v>
      </c>
      <c r="BP140" s="34"/>
      <c r="BS140" s="21"/>
      <c r="BW140" s="20">
        <f t="shared" si="56"/>
        <v>525</v>
      </c>
      <c r="BX140" s="20">
        <f t="shared" si="57"/>
        <v>105</v>
      </c>
      <c r="CJ140">
        <f t="shared" si="58"/>
        <v>1422</v>
      </c>
      <c r="CK140" s="2" t="s">
        <v>1550</v>
      </c>
      <c r="CL140" t="s">
        <v>1036</v>
      </c>
    </row>
    <row r="141" spans="1:90" ht="12.75">
      <c r="A141" s="15">
        <v>1422</v>
      </c>
      <c r="B141" s="14" t="s">
        <v>952</v>
      </c>
      <c r="C141" s="14" t="s">
        <v>558</v>
      </c>
      <c r="D141" s="14" t="s">
        <v>258</v>
      </c>
      <c r="E141" s="14" t="s">
        <v>282</v>
      </c>
      <c r="F141" s="2" t="s">
        <v>158</v>
      </c>
      <c r="G141" s="2">
        <v>1</v>
      </c>
      <c r="H141" s="2" t="s">
        <v>428</v>
      </c>
      <c r="I141" s="2" t="s">
        <v>715</v>
      </c>
      <c r="J141" s="14" t="s">
        <v>326</v>
      </c>
      <c r="K141" s="2" t="s">
        <v>459</v>
      </c>
      <c r="L141" s="14" t="s">
        <v>408</v>
      </c>
      <c r="M141" s="14" t="s">
        <v>751</v>
      </c>
      <c r="N141" s="2" t="s">
        <v>534</v>
      </c>
      <c r="O141" s="10">
        <v>11</v>
      </c>
      <c r="U141" s="45">
        <f t="shared" si="53"/>
        <v>924</v>
      </c>
      <c r="V141" s="45">
        <f t="shared" si="54"/>
        <v>84</v>
      </c>
      <c r="W141" s="23">
        <f>(20*V141)/33</f>
        <v>50.90909090909091</v>
      </c>
      <c r="X141" s="6">
        <v>7</v>
      </c>
      <c r="AB141" s="45"/>
      <c r="AF141" s="23">
        <f>X141*O141</f>
        <v>77</v>
      </c>
      <c r="AG141">
        <v>7</v>
      </c>
      <c r="AH141">
        <v>0</v>
      </c>
      <c r="AI141">
        <v>0</v>
      </c>
      <c r="AJ141" s="23">
        <f t="shared" si="55"/>
        <v>7</v>
      </c>
      <c r="AK141" s="23">
        <f>W141/12</f>
        <v>4.242424242424242</v>
      </c>
      <c r="AU141" s="23"/>
      <c r="AV141" s="7"/>
      <c r="AX141" s="23"/>
      <c r="BP141" s="34"/>
      <c r="BS141" s="21"/>
      <c r="BW141" s="20">
        <f t="shared" si="56"/>
        <v>924</v>
      </c>
      <c r="BX141" s="20">
        <f t="shared" si="57"/>
        <v>84</v>
      </c>
      <c r="CJ141">
        <f t="shared" si="58"/>
        <v>1422</v>
      </c>
      <c r="CK141" s="2" t="s">
        <v>459</v>
      </c>
      <c r="CL141" t="s">
        <v>1023</v>
      </c>
    </row>
    <row r="142" spans="1:90" ht="12.75">
      <c r="A142" s="15">
        <v>1422</v>
      </c>
      <c r="B142" s="14" t="s">
        <v>952</v>
      </c>
      <c r="C142" s="14" t="s">
        <v>558</v>
      </c>
      <c r="D142" s="14" t="s">
        <v>258</v>
      </c>
      <c r="E142" s="14" t="s">
        <v>282</v>
      </c>
      <c r="F142" s="2" t="s">
        <v>159</v>
      </c>
      <c r="G142" s="2">
        <v>1</v>
      </c>
      <c r="H142" s="2" t="s">
        <v>3</v>
      </c>
      <c r="I142" s="2" t="s">
        <v>731</v>
      </c>
      <c r="J142" s="14" t="s">
        <v>326</v>
      </c>
      <c r="K142" s="2" t="s">
        <v>724</v>
      </c>
      <c r="L142" s="14" t="s">
        <v>1422</v>
      </c>
      <c r="M142" s="14" t="s">
        <v>1460</v>
      </c>
      <c r="N142" s="2" t="s">
        <v>1499</v>
      </c>
      <c r="O142" s="10">
        <v>11</v>
      </c>
      <c r="U142" s="45">
        <f t="shared" si="53"/>
        <v>541.1999999999999</v>
      </c>
      <c r="V142" s="45">
        <f t="shared" si="54"/>
        <v>49.199999999999996</v>
      </c>
      <c r="W142" s="23">
        <f>(20*V142)/36</f>
        <v>27.33333333333333</v>
      </c>
      <c r="X142" s="6">
        <f>4+2/20</f>
        <v>4.1</v>
      </c>
      <c r="AB142" s="45"/>
      <c r="AF142" s="23">
        <f>X142*O142</f>
        <v>45.099999999999994</v>
      </c>
      <c r="AG142">
        <v>4</v>
      </c>
      <c r="AH142">
        <v>2</v>
      </c>
      <c r="AI142">
        <v>0</v>
      </c>
      <c r="AJ142" s="23">
        <f t="shared" si="55"/>
        <v>4.1</v>
      </c>
      <c r="AK142" s="23">
        <f>W142/12</f>
        <v>2.2777777777777772</v>
      </c>
      <c r="AU142" s="7"/>
      <c r="AV142" s="7"/>
      <c r="BP142" s="34"/>
      <c r="BS142" s="21"/>
      <c r="BW142" s="20">
        <f t="shared" si="56"/>
        <v>541.1999999999999</v>
      </c>
      <c r="BX142" s="20">
        <f t="shared" si="57"/>
        <v>49.199999999999996</v>
      </c>
      <c r="CJ142">
        <f t="shared" si="58"/>
        <v>1422</v>
      </c>
      <c r="CK142" s="2" t="s">
        <v>724</v>
      </c>
      <c r="CL142" t="s">
        <v>1030</v>
      </c>
    </row>
    <row r="143" spans="1:90" ht="12.75">
      <c r="A143" s="15">
        <v>1422</v>
      </c>
      <c r="B143" s="14" t="s">
        <v>952</v>
      </c>
      <c r="C143" s="14" t="s">
        <v>558</v>
      </c>
      <c r="D143" s="14" t="s">
        <v>258</v>
      </c>
      <c r="E143" s="14" t="s">
        <v>282</v>
      </c>
      <c r="F143" s="2" t="s">
        <v>160</v>
      </c>
      <c r="G143" s="2">
        <v>1</v>
      </c>
      <c r="H143" s="2" t="s">
        <v>1547</v>
      </c>
      <c r="I143" s="2" t="s">
        <v>1546</v>
      </c>
      <c r="J143" s="14" t="s">
        <v>326</v>
      </c>
      <c r="K143" s="2" t="s">
        <v>1552</v>
      </c>
      <c r="L143" s="14" t="s">
        <v>1543</v>
      </c>
      <c r="M143" s="14" t="s">
        <v>1107</v>
      </c>
      <c r="N143" s="2" t="s">
        <v>567</v>
      </c>
      <c r="O143" s="10">
        <v>1</v>
      </c>
      <c r="U143" s="45">
        <f t="shared" si="53"/>
        <v>52.800000000000004</v>
      </c>
      <c r="V143" s="45">
        <f t="shared" si="54"/>
        <v>52.800000000000004</v>
      </c>
      <c r="X143" s="6">
        <f>4+8/20</f>
        <v>4.4</v>
      </c>
      <c r="AB143" s="45"/>
      <c r="AC143">
        <v>4</v>
      </c>
      <c r="AD143">
        <v>8</v>
      </c>
      <c r="AE143">
        <v>0</v>
      </c>
      <c r="AF143" s="23">
        <f>AC143+AD143/20+AE143/240</f>
        <v>4.4</v>
      </c>
      <c r="AG143">
        <v>4</v>
      </c>
      <c r="AH143">
        <v>8</v>
      </c>
      <c r="AI143">
        <v>0</v>
      </c>
      <c r="AJ143" s="23">
        <f t="shared" si="55"/>
        <v>4.4</v>
      </c>
      <c r="AK143" s="23"/>
      <c r="AU143" s="7"/>
      <c r="AV143" s="7"/>
      <c r="AX143" s="23">
        <v>4.4</v>
      </c>
      <c r="BP143" s="34"/>
      <c r="BS143" s="21"/>
      <c r="BW143" s="20">
        <f t="shared" si="56"/>
        <v>52.800000000000004</v>
      </c>
      <c r="BX143" s="20">
        <f t="shared" si="57"/>
        <v>52.800000000000004</v>
      </c>
      <c r="CJ143">
        <f t="shared" si="58"/>
        <v>1422</v>
      </c>
      <c r="CK143" s="2" t="s">
        <v>1552</v>
      </c>
      <c r="CL143" t="s">
        <v>1009</v>
      </c>
    </row>
    <row r="144" spans="1:89" ht="12.75">
      <c r="A144" s="15">
        <v>1422</v>
      </c>
      <c r="B144" s="14" t="s">
        <v>952</v>
      </c>
      <c r="C144" s="14" t="s">
        <v>558</v>
      </c>
      <c r="D144" s="14" t="s">
        <v>258</v>
      </c>
      <c r="E144" s="14" t="s">
        <v>282</v>
      </c>
      <c r="F144" s="2" t="s">
        <v>161</v>
      </c>
      <c r="G144" s="2">
        <v>1</v>
      </c>
      <c r="H144" s="2" t="s">
        <v>428</v>
      </c>
      <c r="I144" s="2" t="s">
        <v>837</v>
      </c>
      <c r="J144" s="14" t="s">
        <v>326</v>
      </c>
      <c r="K144" s="2" t="s">
        <v>473</v>
      </c>
      <c r="L144" s="14" t="s">
        <v>410</v>
      </c>
      <c r="M144" s="14" t="s">
        <v>745</v>
      </c>
      <c r="N144" s="2" t="s">
        <v>287</v>
      </c>
      <c r="O144" s="10">
        <v>1</v>
      </c>
      <c r="U144" s="45">
        <f t="shared" si="53"/>
        <v>40.2</v>
      </c>
      <c r="V144" s="45">
        <f t="shared" si="54"/>
        <v>40.2</v>
      </c>
      <c r="X144" s="6">
        <f>3+7/20</f>
        <v>3.35</v>
      </c>
      <c r="AB144" s="45"/>
      <c r="AC144">
        <v>3</v>
      </c>
      <c r="AD144">
        <v>7</v>
      </c>
      <c r="AE144">
        <v>0</v>
      </c>
      <c r="AF144" s="23">
        <f>AC144+AD144/20+AE144/240</f>
        <v>3.35</v>
      </c>
      <c r="AG144">
        <v>3</v>
      </c>
      <c r="AH144">
        <v>7</v>
      </c>
      <c r="AI144">
        <v>0</v>
      </c>
      <c r="AJ144" s="23">
        <f t="shared" si="55"/>
        <v>3.35</v>
      </c>
      <c r="AU144" s="7"/>
      <c r="AV144" s="7"/>
      <c r="AX144" s="23"/>
      <c r="BB144" s="23">
        <v>3.35</v>
      </c>
      <c r="BP144" s="34"/>
      <c r="BS144" s="21"/>
      <c r="BW144" s="20">
        <f t="shared" si="56"/>
        <v>40.2</v>
      </c>
      <c r="BX144" s="20">
        <f t="shared" si="57"/>
        <v>40.2</v>
      </c>
      <c r="CJ144">
        <f t="shared" si="58"/>
        <v>1422</v>
      </c>
      <c r="CK144" s="2" t="s">
        <v>473</v>
      </c>
    </row>
    <row r="145" spans="1:89" ht="12.75">
      <c r="A145" s="15">
        <v>1422</v>
      </c>
      <c r="B145" s="14" t="s">
        <v>952</v>
      </c>
      <c r="C145" s="14" t="s">
        <v>558</v>
      </c>
      <c r="D145" s="14" t="s">
        <v>258</v>
      </c>
      <c r="E145" s="14" t="s">
        <v>282</v>
      </c>
      <c r="F145" s="2" t="s">
        <v>162</v>
      </c>
      <c r="G145" s="2">
        <v>1</v>
      </c>
      <c r="H145" s="2" t="s">
        <v>1482</v>
      </c>
      <c r="I145" s="2" t="s">
        <v>1492</v>
      </c>
      <c r="J145" s="14" t="s">
        <v>326</v>
      </c>
      <c r="K145" s="2" t="s">
        <v>1488</v>
      </c>
      <c r="L145" s="14" t="s">
        <v>1477</v>
      </c>
      <c r="M145" s="14" t="s">
        <v>745</v>
      </c>
      <c r="N145" s="2" t="s">
        <v>276</v>
      </c>
      <c r="O145" s="10">
        <v>1</v>
      </c>
      <c r="U145" s="45">
        <f t="shared" si="53"/>
        <v>31.200000000000003</v>
      </c>
      <c r="V145" s="45">
        <f t="shared" si="54"/>
        <v>31.200000000000003</v>
      </c>
      <c r="X145" s="6">
        <f>2+12/20</f>
        <v>2.6</v>
      </c>
      <c r="AB145" s="45"/>
      <c r="AC145">
        <v>2</v>
      </c>
      <c r="AD145">
        <v>12</v>
      </c>
      <c r="AE145">
        <v>0</v>
      </c>
      <c r="AF145" s="23">
        <f>AC145+AD145/20+AE145/240</f>
        <v>2.6</v>
      </c>
      <c r="AG145">
        <v>2</v>
      </c>
      <c r="AH145">
        <v>12</v>
      </c>
      <c r="AI145">
        <v>0</v>
      </c>
      <c r="AJ145" s="23">
        <f t="shared" si="55"/>
        <v>2.6</v>
      </c>
      <c r="AU145" s="7"/>
      <c r="AV145" s="7"/>
      <c r="AX145" s="23">
        <v>2.6</v>
      </c>
      <c r="BB145" s="23"/>
      <c r="BP145" s="34"/>
      <c r="BS145" s="21"/>
      <c r="BW145" s="20">
        <f t="shared" si="56"/>
        <v>31.200000000000003</v>
      </c>
      <c r="BX145" s="20">
        <f t="shared" si="57"/>
        <v>31.200000000000003</v>
      </c>
      <c r="CJ145">
        <f t="shared" si="58"/>
        <v>1422</v>
      </c>
      <c r="CK145" s="2" t="s">
        <v>1488</v>
      </c>
    </row>
    <row r="146" spans="1:89" ht="12.75">
      <c r="A146" s="15">
        <v>1422</v>
      </c>
      <c r="B146" s="14" t="s">
        <v>952</v>
      </c>
      <c r="C146" s="14" t="s">
        <v>558</v>
      </c>
      <c r="D146" s="14" t="s">
        <v>258</v>
      </c>
      <c r="E146" s="14" t="s">
        <v>282</v>
      </c>
      <c r="F146" s="2" t="s">
        <v>163</v>
      </c>
      <c r="G146" s="2">
        <v>1</v>
      </c>
      <c r="H146" s="2" t="s">
        <v>1482</v>
      </c>
      <c r="I146" s="2" t="s">
        <v>1491</v>
      </c>
      <c r="J146" s="14" t="s">
        <v>326</v>
      </c>
      <c r="K146" s="2" t="s">
        <v>1484</v>
      </c>
      <c r="L146" s="14" t="s">
        <v>1477</v>
      </c>
      <c r="M146" s="14" t="s">
        <v>327</v>
      </c>
      <c r="N146" s="2" t="s">
        <v>1362</v>
      </c>
      <c r="O146" s="10">
        <v>1</v>
      </c>
      <c r="U146" s="45">
        <f t="shared" si="53"/>
        <v>31.200000000000003</v>
      </c>
      <c r="V146" s="45">
        <f t="shared" si="54"/>
        <v>31.200000000000003</v>
      </c>
      <c r="X146" s="6">
        <f>2+12/20</f>
        <v>2.6</v>
      </c>
      <c r="AB146" s="45"/>
      <c r="AC146">
        <v>2</v>
      </c>
      <c r="AD146">
        <v>12</v>
      </c>
      <c r="AE146">
        <v>0</v>
      </c>
      <c r="AF146" s="23">
        <f>AC146+AD146/20+AE146/240</f>
        <v>2.6</v>
      </c>
      <c r="AG146">
        <v>2</v>
      </c>
      <c r="AH146">
        <v>12</v>
      </c>
      <c r="AI146">
        <v>0</v>
      </c>
      <c r="AJ146" s="23">
        <f t="shared" si="55"/>
        <v>2.6</v>
      </c>
      <c r="AU146" s="7"/>
      <c r="AV146" s="7"/>
      <c r="BE146" s="23">
        <v>2.6</v>
      </c>
      <c r="BP146" s="34"/>
      <c r="BS146" s="21"/>
      <c r="BW146" s="20">
        <f t="shared" si="56"/>
        <v>31.200000000000003</v>
      </c>
      <c r="BX146" s="20">
        <f t="shared" si="57"/>
        <v>31.200000000000003</v>
      </c>
      <c r="CJ146">
        <f t="shared" si="58"/>
        <v>1422</v>
      </c>
      <c r="CK146" s="2" t="s">
        <v>1484</v>
      </c>
    </row>
    <row r="147" spans="1:89" ht="12.75">
      <c r="A147" s="15"/>
      <c r="E147" s="14"/>
      <c r="F147" s="2"/>
      <c r="G147" s="2"/>
      <c r="K147" s="2"/>
      <c r="U147" s="45"/>
      <c r="V147" s="45"/>
      <c r="X147" s="6"/>
      <c r="AB147" s="45"/>
      <c r="AF147" s="23"/>
      <c r="AJ147" s="23"/>
      <c r="AU147" s="7"/>
      <c r="AV147" s="7"/>
      <c r="AX147" s="23"/>
      <c r="BE147" s="23"/>
      <c r="BP147" s="34"/>
      <c r="BS147" s="21"/>
      <c r="BW147" s="20"/>
      <c r="BX147" s="20"/>
      <c r="CK147" s="2"/>
    </row>
    <row r="148" spans="1:89" ht="12.75">
      <c r="A148" s="15">
        <v>1422</v>
      </c>
      <c r="B148" s="14" t="s">
        <v>952</v>
      </c>
      <c r="C148" s="14" t="s">
        <v>558</v>
      </c>
      <c r="D148" s="14" t="s">
        <v>258</v>
      </c>
      <c r="E148" s="14" t="s">
        <v>282</v>
      </c>
      <c r="F148" s="2" t="s">
        <v>164</v>
      </c>
      <c r="G148" s="2">
        <v>2</v>
      </c>
      <c r="H148" s="2" t="s">
        <v>1482</v>
      </c>
      <c r="I148" s="2" t="s">
        <v>1491</v>
      </c>
      <c r="J148" s="14" t="s">
        <v>326</v>
      </c>
      <c r="K148" s="2" t="s">
        <v>1484</v>
      </c>
      <c r="L148" s="14" t="s">
        <v>1477</v>
      </c>
      <c r="M148" s="14" t="s">
        <v>327</v>
      </c>
      <c r="N148" s="2" t="s">
        <v>1478</v>
      </c>
      <c r="O148" s="10">
        <v>3</v>
      </c>
      <c r="U148" s="45">
        <f>O148*V148</f>
        <v>93.60000000000001</v>
      </c>
      <c r="V148" s="45">
        <f>12*X148</f>
        <v>31.200000000000003</v>
      </c>
      <c r="X148" s="6">
        <f>2+12/20</f>
        <v>2.6</v>
      </c>
      <c r="AB148" s="45"/>
      <c r="AC148">
        <v>2</v>
      </c>
      <c r="AD148">
        <v>12</v>
      </c>
      <c r="AE148">
        <v>0</v>
      </c>
      <c r="AF148" s="23">
        <f>AC148+AD148/20+AE148/240</f>
        <v>2.6</v>
      </c>
      <c r="AG148">
        <v>2</v>
      </c>
      <c r="AH148">
        <v>12</v>
      </c>
      <c r="AI148">
        <v>0</v>
      </c>
      <c r="AJ148" s="23">
        <f>X148*1</f>
        <v>2.6</v>
      </c>
      <c r="AU148" s="7"/>
      <c r="AV148" s="7"/>
      <c r="BF148" s="23"/>
      <c r="BG148" s="23">
        <v>2.6</v>
      </c>
      <c r="BP148" s="34"/>
      <c r="BS148" s="21"/>
      <c r="BW148" s="20">
        <f>U148+(BO148*12*O148)+BT148</f>
        <v>93.60000000000001</v>
      </c>
      <c r="BX148" s="20">
        <f>BW148/O148</f>
        <v>31.200000000000003</v>
      </c>
      <c r="CJ148">
        <f>A148*1</f>
        <v>1422</v>
      </c>
      <c r="CK148" s="2" t="s">
        <v>1484</v>
      </c>
    </row>
    <row r="149" spans="1:90" ht="12.75">
      <c r="A149" s="15">
        <v>1422</v>
      </c>
      <c r="B149" s="14" t="s">
        <v>952</v>
      </c>
      <c r="C149" s="14" t="s">
        <v>558</v>
      </c>
      <c r="D149" s="14" t="s">
        <v>258</v>
      </c>
      <c r="E149" s="14" t="s">
        <v>282</v>
      </c>
      <c r="F149" s="2" t="s">
        <v>165</v>
      </c>
      <c r="G149" s="2">
        <v>2</v>
      </c>
      <c r="H149" s="2" t="s">
        <v>612</v>
      </c>
      <c r="I149" s="2" t="s">
        <v>1123</v>
      </c>
      <c r="J149" s="14" t="s">
        <v>326</v>
      </c>
      <c r="K149" s="2" t="s">
        <v>615</v>
      </c>
      <c r="L149" s="14" t="s">
        <v>565</v>
      </c>
      <c r="M149" s="14" t="s">
        <v>1107</v>
      </c>
      <c r="N149" s="2" t="s">
        <v>887</v>
      </c>
      <c r="O149" s="10">
        <v>1</v>
      </c>
      <c r="U149" s="45">
        <f>O149*V149</f>
        <v>31.200000000000003</v>
      </c>
      <c r="V149" s="45">
        <f>12*X149</f>
        <v>31.200000000000003</v>
      </c>
      <c r="X149" s="6">
        <f>2+12/20</f>
        <v>2.6</v>
      </c>
      <c r="AB149" s="45"/>
      <c r="AC149">
        <v>2</v>
      </c>
      <c r="AD149">
        <v>12</v>
      </c>
      <c r="AE149">
        <v>0</v>
      </c>
      <c r="AF149" s="23">
        <f>AC149+AD149/20+AE149/240</f>
        <v>2.6</v>
      </c>
      <c r="AG149">
        <v>2</v>
      </c>
      <c r="AH149">
        <v>12</v>
      </c>
      <c r="AI149">
        <v>0</v>
      </c>
      <c r="AJ149" s="23">
        <f>X149*1</f>
        <v>2.6</v>
      </c>
      <c r="AU149" s="7"/>
      <c r="AV149" s="7"/>
      <c r="BF149" s="23">
        <v>2.6</v>
      </c>
      <c r="BG149" s="23"/>
      <c r="BP149" s="34"/>
      <c r="BS149" s="21"/>
      <c r="BW149" s="20">
        <f>U149+(BO149*12*O149)+BT149</f>
        <v>31.200000000000003</v>
      </c>
      <c r="BX149" s="20">
        <f>BW149/O149</f>
        <v>31.200000000000003</v>
      </c>
      <c r="CJ149">
        <f>A149*1</f>
        <v>1422</v>
      </c>
      <c r="CK149" s="2" t="s">
        <v>615</v>
      </c>
      <c r="CL149" t="s">
        <v>11</v>
      </c>
    </row>
    <row r="150" spans="1:90" ht="12.75">
      <c r="A150" s="15">
        <v>1422</v>
      </c>
      <c r="B150" s="14" t="s">
        <v>952</v>
      </c>
      <c r="C150" s="14" t="s">
        <v>558</v>
      </c>
      <c r="D150" s="14" t="s">
        <v>258</v>
      </c>
      <c r="E150" s="14" t="s">
        <v>282</v>
      </c>
      <c r="F150" s="2" t="s">
        <v>166</v>
      </c>
      <c r="G150" s="2">
        <v>2</v>
      </c>
      <c r="H150" s="2" t="s">
        <v>591</v>
      </c>
      <c r="I150" s="2" t="s">
        <v>833</v>
      </c>
      <c r="J150" s="14" t="s">
        <v>326</v>
      </c>
      <c r="K150" s="2" t="s">
        <v>599</v>
      </c>
      <c r="L150" s="14" t="s">
        <v>585</v>
      </c>
      <c r="M150" s="14" t="s">
        <v>746</v>
      </c>
      <c r="N150" s="2" t="s">
        <v>763</v>
      </c>
      <c r="O150" s="10" t="s">
        <v>3</v>
      </c>
      <c r="U150" s="45"/>
      <c r="V150" s="45">
        <f>12*X150</f>
        <v>16.5</v>
      </c>
      <c r="X150" s="6">
        <f>1+7/20+6/240</f>
        <v>1.375</v>
      </c>
      <c r="AB150" s="45"/>
      <c r="AF150" s="23"/>
      <c r="AG150">
        <v>1</v>
      </c>
      <c r="AH150">
        <v>7</v>
      </c>
      <c r="AI150">
        <v>6</v>
      </c>
      <c r="AJ150" s="23">
        <f>X150*1</f>
        <v>1.375</v>
      </c>
      <c r="AU150" s="7"/>
      <c r="AV150" s="7"/>
      <c r="BG150" s="23">
        <v>1.375</v>
      </c>
      <c r="BP150" s="34"/>
      <c r="BS150" s="21"/>
      <c r="BX150" s="20">
        <f>1*V150</f>
        <v>16.5</v>
      </c>
      <c r="CJ150">
        <f>A150*1</f>
        <v>1422</v>
      </c>
      <c r="CK150" s="2" t="s">
        <v>599</v>
      </c>
      <c r="CL150" t="s">
        <v>1018</v>
      </c>
    </row>
    <row r="151" spans="1:89" ht="12.75">
      <c r="A151" s="15">
        <v>1422</v>
      </c>
      <c r="B151" s="14" t="s">
        <v>952</v>
      </c>
      <c r="C151" s="14" t="s">
        <v>558</v>
      </c>
      <c r="D151" s="14" t="s">
        <v>258</v>
      </c>
      <c r="E151" s="14" t="s">
        <v>282</v>
      </c>
      <c r="F151" s="2" t="s">
        <v>167</v>
      </c>
      <c r="G151" s="2">
        <v>2</v>
      </c>
      <c r="H151" s="2" t="s">
        <v>428</v>
      </c>
      <c r="I151" s="2" t="s">
        <v>1518</v>
      </c>
      <c r="J151" s="14" t="s">
        <v>326</v>
      </c>
      <c r="K151" s="2" t="s">
        <v>496</v>
      </c>
      <c r="L151" s="14" t="s">
        <v>410</v>
      </c>
      <c r="M151" s="14" t="s">
        <v>1463</v>
      </c>
      <c r="N151" s="2" t="s">
        <v>1301</v>
      </c>
      <c r="O151" s="10">
        <v>50</v>
      </c>
      <c r="U151" s="45">
        <f>O151*V151</f>
        <v>2100</v>
      </c>
      <c r="V151" s="45">
        <f>12*X151</f>
        <v>42</v>
      </c>
      <c r="X151" s="6">
        <f>3+10/20</f>
        <v>3.5</v>
      </c>
      <c r="AB151" s="45"/>
      <c r="AF151" s="23">
        <f>X151*O151</f>
        <v>175</v>
      </c>
      <c r="AG151">
        <v>3</v>
      </c>
      <c r="AH151">
        <v>10</v>
      </c>
      <c r="AI151">
        <v>0</v>
      </c>
      <c r="AJ151" s="23">
        <f>X151*1</f>
        <v>3.5</v>
      </c>
      <c r="AU151" s="7"/>
      <c r="AV151" s="7"/>
      <c r="BC151" s="23">
        <v>3.5</v>
      </c>
      <c r="BP151" s="34"/>
      <c r="BS151" s="21"/>
      <c r="BW151" s="20">
        <f>U151+(BO151*12*O151)+BT151</f>
        <v>2100</v>
      </c>
      <c r="BX151" s="20">
        <f>BW151/O151</f>
        <v>42</v>
      </c>
      <c r="CJ151">
        <f>A151*1</f>
        <v>1422</v>
      </c>
      <c r="CK151" s="2" t="s">
        <v>496</v>
      </c>
    </row>
    <row r="152" spans="1:89" ht="12.75">
      <c r="A152" s="15"/>
      <c r="E152" s="14"/>
      <c r="F152" s="2"/>
      <c r="G152" s="2"/>
      <c r="K152" s="2"/>
      <c r="U152" s="45"/>
      <c r="V152" s="45"/>
      <c r="X152" s="6"/>
      <c r="AB152" s="45"/>
      <c r="AF152" s="23"/>
      <c r="AJ152" s="23"/>
      <c r="AU152" s="7"/>
      <c r="AV152" s="7"/>
      <c r="BD152" s="23"/>
      <c r="BP152" s="34"/>
      <c r="BS152" s="21"/>
      <c r="CK152" s="2"/>
    </row>
    <row r="153" spans="1:90" ht="12.75">
      <c r="A153" s="15">
        <v>1421</v>
      </c>
      <c r="B153" s="14" t="s">
        <v>1076</v>
      </c>
      <c r="C153" s="14" t="s">
        <v>1267</v>
      </c>
      <c r="D153" s="14" t="s">
        <v>47</v>
      </c>
      <c r="E153" s="14" t="s">
        <v>268</v>
      </c>
      <c r="F153" s="2" t="s">
        <v>168</v>
      </c>
      <c r="G153" s="2"/>
      <c r="H153" s="2" t="s">
        <v>694</v>
      </c>
      <c r="I153" s="2" t="s">
        <v>1437</v>
      </c>
      <c r="J153" s="14" t="s">
        <v>326</v>
      </c>
      <c r="K153" s="2" t="s">
        <v>695</v>
      </c>
      <c r="L153" s="14" t="s">
        <v>737</v>
      </c>
      <c r="M153" s="14" t="s">
        <v>3</v>
      </c>
      <c r="N153" s="2" t="s">
        <v>1293</v>
      </c>
      <c r="O153" s="10">
        <v>3</v>
      </c>
      <c r="U153" s="45">
        <f>12*(5+8/20+9/240)</f>
        <v>65.25</v>
      </c>
      <c r="V153" s="45">
        <f>U153/O153</f>
        <v>21.75</v>
      </c>
      <c r="W153" s="23">
        <f>(U153*20)/87</f>
        <v>15</v>
      </c>
      <c r="X153" s="6">
        <f>V153/12</f>
        <v>1.8125</v>
      </c>
      <c r="AB153" s="45"/>
      <c r="AC153">
        <v>5</v>
      </c>
      <c r="AD153">
        <v>8</v>
      </c>
      <c r="AE153">
        <v>9</v>
      </c>
      <c r="AF153" s="23">
        <f>AC153+AD153/20+AE153/240</f>
        <v>5.4375</v>
      </c>
      <c r="AJ153" s="23">
        <f>X153*1</f>
        <v>1.8125</v>
      </c>
      <c r="AK153" s="23">
        <f>W153/12</f>
        <v>1.25</v>
      </c>
      <c r="AU153" s="7"/>
      <c r="AV153" s="7"/>
      <c r="BD153" s="23">
        <v>1.8125</v>
      </c>
      <c r="BP153" s="34"/>
      <c r="BS153" s="21"/>
      <c r="BW153" s="20">
        <f>U153+(BO153*12*O153)+BT153</f>
        <v>65.25</v>
      </c>
      <c r="BX153" s="20">
        <f>BW153/O153</f>
        <v>21.75</v>
      </c>
      <c r="CJ153">
        <f>A153*1</f>
        <v>1421</v>
      </c>
      <c r="CK153" s="2" t="s">
        <v>695</v>
      </c>
      <c r="CL153" t="s">
        <v>1013</v>
      </c>
    </row>
    <row r="154" spans="1:89" ht="12.75">
      <c r="A154" s="18"/>
      <c r="E154" s="14"/>
      <c r="F154" s="33"/>
      <c r="G154" s="2"/>
      <c r="K154" s="2"/>
      <c r="U154" s="45"/>
      <c r="V154" s="45"/>
      <c r="X154" s="6"/>
      <c r="AF154" s="23"/>
      <c r="AK154" s="23"/>
      <c r="BG154" s="7"/>
      <c r="BP154" s="34"/>
      <c r="BS154" s="21"/>
      <c r="CK154" s="2"/>
    </row>
    <row r="155" spans="1:89" ht="12.75">
      <c r="A155" s="15" t="s">
        <v>47</v>
      </c>
      <c r="B155" s="14" t="s">
        <v>3</v>
      </c>
      <c r="C155" s="14" t="s">
        <v>1267</v>
      </c>
      <c r="D155" s="14" t="s">
        <v>47</v>
      </c>
      <c r="E155" s="14" t="s">
        <v>268</v>
      </c>
      <c r="F155" s="2" t="s">
        <v>169</v>
      </c>
      <c r="G155" s="2"/>
      <c r="H155" s="2" t="s">
        <v>428</v>
      </c>
      <c r="I155" s="2" t="s">
        <v>837</v>
      </c>
      <c r="J155" s="14" t="s">
        <v>326</v>
      </c>
      <c r="K155" s="2" t="s">
        <v>473</v>
      </c>
      <c r="L155" s="14" t="s">
        <v>410</v>
      </c>
      <c r="M155" s="14" t="s">
        <v>745</v>
      </c>
      <c r="N155" s="2" t="s">
        <v>1293</v>
      </c>
      <c r="O155" s="10">
        <v>3</v>
      </c>
      <c r="U155" s="45">
        <f>O155*V155</f>
        <v>120.60000000000001</v>
      </c>
      <c r="V155" s="45">
        <f>12*X155</f>
        <v>40.2</v>
      </c>
      <c r="X155" s="6">
        <f>3+7/20</f>
        <v>3.35</v>
      </c>
      <c r="AB155" s="45"/>
      <c r="AC155">
        <v>10</v>
      </c>
      <c r="AD155">
        <v>12</v>
      </c>
      <c r="AE155">
        <v>0</v>
      </c>
      <c r="AF155" s="23">
        <f>AC155+AD155/20+AE155/240</f>
        <v>10.6</v>
      </c>
      <c r="AG155">
        <v>10</v>
      </c>
      <c r="AH155">
        <v>12</v>
      </c>
      <c r="AI155">
        <v>0</v>
      </c>
      <c r="AJ155" s="23">
        <f>X155*1</f>
        <v>3.35</v>
      </c>
      <c r="AK155" s="23"/>
      <c r="AU155" s="7"/>
      <c r="AY155" s="7"/>
      <c r="AZ155" s="19"/>
      <c r="BD155" s="23">
        <v>3.35</v>
      </c>
      <c r="BG155" s="7"/>
      <c r="BP155" s="34"/>
      <c r="BS155" s="21"/>
      <c r="BW155" s="20">
        <f>U155+(BO155*12*O155)+BT155</f>
        <v>120.60000000000001</v>
      </c>
      <c r="BX155" s="20">
        <f>BW155/O155</f>
        <v>40.2</v>
      </c>
      <c r="CJ155" s="39" t="s">
        <v>47</v>
      </c>
      <c r="CK155" s="2" t="s">
        <v>473</v>
      </c>
    </row>
    <row r="156" spans="1:89" ht="12.75">
      <c r="A156" s="15"/>
      <c r="E156" s="14"/>
      <c r="F156" s="2"/>
      <c r="G156" s="2"/>
      <c r="K156" s="2"/>
      <c r="U156" s="45"/>
      <c r="V156" s="45"/>
      <c r="X156" s="6"/>
      <c r="AB156" s="45"/>
      <c r="AF156" s="23"/>
      <c r="AJ156" s="23"/>
      <c r="AK156" s="23"/>
      <c r="AY156" s="19"/>
      <c r="AZ156" s="7"/>
      <c r="BD156" s="23"/>
      <c r="BG156" s="7"/>
      <c r="BP156" s="34"/>
      <c r="BS156" s="21"/>
      <c r="CK156" s="2"/>
    </row>
    <row r="157" spans="1:90" ht="12.75">
      <c r="A157" s="18">
        <v>1422</v>
      </c>
      <c r="B157" s="14" t="s">
        <v>1077</v>
      </c>
      <c r="C157" s="14" t="s">
        <v>558</v>
      </c>
      <c r="D157" s="14" t="s">
        <v>259</v>
      </c>
      <c r="E157" s="14" t="s">
        <v>271</v>
      </c>
      <c r="F157" s="33" t="s">
        <v>170</v>
      </c>
      <c r="G157" s="2"/>
      <c r="H157" s="2" t="s">
        <v>428</v>
      </c>
      <c r="I157" s="2" t="s">
        <v>4</v>
      </c>
      <c r="J157" s="14" t="s">
        <v>326</v>
      </c>
      <c r="K157" s="2" t="s">
        <v>481</v>
      </c>
      <c r="L157" s="14" t="s">
        <v>1422</v>
      </c>
      <c r="M157" s="14" t="s">
        <v>756</v>
      </c>
      <c r="N157" s="2" t="s">
        <v>1494</v>
      </c>
      <c r="O157" s="10">
        <v>3</v>
      </c>
      <c r="U157" s="45">
        <f>O157*V157</f>
        <v>165.6</v>
      </c>
      <c r="V157" s="45">
        <f>12*X157</f>
        <v>55.199999999999996</v>
      </c>
      <c r="X157" s="6">
        <f>4+12/20</f>
        <v>4.6</v>
      </c>
      <c r="AB157" s="45"/>
      <c r="AF157" s="23">
        <f>O157*X157</f>
        <v>13.799999999999999</v>
      </c>
      <c r="AG157">
        <v>4</v>
      </c>
      <c r="AH157">
        <v>12</v>
      </c>
      <c r="AI157">
        <v>0</v>
      </c>
      <c r="AJ157" s="23">
        <f>X157*1</f>
        <v>4.6</v>
      </c>
      <c r="AK157" s="23"/>
      <c r="BB157" s="7"/>
      <c r="BP157" s="34"/>
      <c r="BS157" s="21"/>
      <c r="BW157" s="20">
        <f>U157+(BO157*12*O157)+BT157</f>
        <v>165.6</v>
      </c>
      <c r="BX157" s="20">
        <f>BW157/O157</f>
        <v>55.199999999999996</v>
      </c>
      <c r="CJ157">
        <f>A157*1</f>
        <v>1422</v>
      </c>
      <c r="CK157" s="2" t="s">
        <v>481</v>
      </c>
      <c r="CL157" t="s">
        <v>31</v>
      </c>
    </row>
    <row r="158" spans="1:89" ht="12.75">
      <c r="A158" s="18">
        <v>1422</v>
      </c>
      <c r="B158" s="14" t="s">
        <v>1077</v>
      </c>
      <c r="C158" s="14" t="s">
        <v>558</v>
      </c>
      <c r="D158" s="14" t="s">
        <v>259</v>
      </c>
      <c r="E158" s="14" t="s">
        <v>271</v>
      </c>
      <c r="F158" s="33" t="s">
        <v>171</v>
      </c>
      <c r="G158" s="2"/>
      <c r="H158" s="2" t="s">
        <v>428</v>
      </c>
      <c r="I158" s="2" t="s">
        <v>4</v>
      </c>
      <c r="J158" s="14" t="s">
        <v>326</v>
      </c>
      <c r="K158" s="2" t="s">
        <v>481</v>
      </c>
      <c r="L158" s="14" t="s">
        <v>1422</v>
      </c>
      <c r="M158" s="14" t="s">
        <v>756</v>
      </c>
      <c r="N158" s="2" t="s">
        <v>1494</v>
      </c>
      <c r="O158" s="10">
        <v>2.5</v>
      </c>
      <c r="U158" s="45">
        <f>O158*V158</f>
        <v>135</v>
      </c>
      <c r="V158" s="45">
        <f>12*X158</f>
        <v>54</v>
      </c>
      <c r="X158" s="6">
        <f>4+10/20</f>
        <v>4.5</v>
      </c>
      <c r="AB158" s="45"/>
      <c r="AF158" s="23">
        <f>O158*X158</f>
        <v>11.25</v>
      </c>
      <c r="AG158">
        <v>4</v>
      </c>
      <c r="AH158">
        <v>10</v>
      </c>
      <c r="AI158">
        <v>0</v>
      </c>
      <c r="AJ158" s="23">
        <f>X158*1</f>
        <v>4.5</v>
      </c>
      <c r="AK158" s="23"/>
      <c r="AX158" s="23"/>
      <c r="BG158" s="7"/>
      <c r="BP158" s="34"/>
      <c r="BS158" s="21"/>
      <c r="BW158" s="20">
        <f>U158+(BO158*12*O158)+BT158</f>
        <v>135</v>
      </c>
      <c r="BX158" s="20">
        <f>BW158/O158</f>
        <v>54</v>
      </c>
      <c r="CJ158">
        <f>A158*1</f>
        <v>1422</v>
      </c>
      <c r="CK158" s="2" t="s">
        <v>481</v>
      </c>
    </row>
    <row r="159" spans="1:90" ht="12.75">
      <c r="A159" s="18">
        <v>1422</v>
      </c>
      <c r="B159" s="14" t="s">
        <v>1077</v>
      </c>
      <c r="C159" s="14" t="s">
        <v>558</v>
      </c>
      <c r="D159" s="14" t="s">
        <v>259</v>
      </c>
      <c r="E159" s="14" t="s">
        <v>271</v>
      </c>
      <c r="F159" s="33" t="s">
        <v>172</v>
      </c>
      <c r="G159" s="2"/>
      <c r="H159" s="2" t="s">
        <v>428</v>
      </c>
      <c r="I159" s="2" t="s">
        <v>527</v>
      </c>
      <c r="J159" s="14" t="s">
        <v>326</v>
      </c>
      <c r="K159" s="2" t="s">
        <v>485</v>
      </c>
      <c r="L159" s="14" t="s">
        <v>410</v>
      </c>
      <c r="M159" s="14" t="s">
        <v>1002</v>
      </c>
      <c r="N159" s="2" t="s">
        <v>1494</v>
      </c>
      <c r="O159" s="10">
        <v>5.5</v>
      </c>
      <c r="U159" s="45">
        <f>O159*V159</f>
        <v>330</v>
      </c>
      <c r="V159" s="45">
        <f>12*X159</f>
        <v>60</v>
      </c>
      <c r="X159" s="6">
        <v>5</v>
      </c>
      <c r="AB159" s="45"/>
      <c r="AC159">
        <v>27</v>
      </c>
      <c r="AD159">
        <v>10</v>
      </c>
      <c r="AE159">
        <v>0</v>
      </c>
      <c r="AF159" s="23">
        <f>AC159+AD159/20+AE159/240</f>
        <v>27.5</v>
      </c>
      <c r="AG159">
        <v>5</v>
      </c>
      <c r="AH159">
        <v>0</v>
      </c>
      <c r="AI159">
        <v>0</v>
      </c>
      <c r="AJ159" s="23">
        <f>X159*1</f>
        <v>5</v>
      </c>
      <c r="AK159" s="23"/>
      <c r="AX159" s="23"/>
      <c r="BG159" s="7"/>
      <c r="BP159" s="34"/>
      <c r="BS159" s="21"/>
      <c r="BW159" s="20">
        <f>U159+(BO159*12*O159)+BT159</f>
        <v>330</v>
      </c>
      <c r="BX159" s="20">
        <f>BW159/O159</f>
        <v>60</v>
      </c>
      <c r="CJ159">
        <f>A159*1</f>
        <v>1422</v>
      </c>
      <c r="CK159" s="2" t="s">
        <v>485</v>
      </c>
      <c r="CL159" t="s">
        <v>1016</v>
      </c>
    </row>
    <row r="160" spans="1:90" ht="12.75">
      <c r="A160" s="18">
        <v>1422</v>
      </c>
      <c r="B160" s="14" t="s">
        <v>1077</v>
      </c>
      <c r="C160" s="14" t="s">
        <v>558</v>
      </c>
      <c r="D160" s="14" t="s">
        <v>259</v>
      </c>
      <c r="E160" s="14" t="s">
        <v>271</v>
      </c>
      <c r="F160" s="33" t="s">
        <v>173</v>
      </c>
      <c r="G160" s="2"/>
      <c r="H160" s="2" t="s">
        <v>428</v>
      </c>
      <c r="I160" s="2" t="s">
        <v>911</v>
      </c>
      <c r="J160" s="14" t="s">
        <v>326</v>
      </c>
      <c r="K160" s="2" t="s">
        <v>481</v>
      </c>
      <c r="L160" s="14" t="s">
        <v>410</v>
      </c>
      <c r="M160" s="14" t="s">
        <v>756</v>
      </c>
      <c r="N160" s="2" t="s">
        <v>1427</v>
      </c>
      <c r="O160" s="10">
        <v>1.5</v>
      </c>
      <c r="U160" s="45">
        <f>O160*V160</f>
        <v>90</v>
      </c>
      <c r="V160" s="45">
        <f>12*X160</f>
        <v>60</v>
      </c>
      <c r="X160" s="6">
        <v>5</v>
      </c>
      <c r="AB160" s="45"/>
      <c r="AF160" s="23">
        <f>O160*X160</f>
        <v>7.5</v>
      </c>
      <c r="AG160">
        <v>5</v>
      </c>
      <c r="AH160">
        <v>0</v>
      </c>
      <c r="AI160">
        <v>0</v>
      </c>
      <c r="AJ160" s="23">
        <f>X160*1</f>
        <v>5</v>
      </c>
      <c r="AK160" s="23"/>
      <c r="AY160" s="23">
        <v>5</v>
      </c>
      <c r="AZ160" s="23"/>
      <c r="BC160" s="7"/>
      <c r="BG160" s="7"/>
      <c r="BP160" s="34"/>
      <c r="BS160" s="21"/>
      <c r="BW160" s="20">
        <f>U160+(BO160*12*O160)+BT160</f>
        <v>90</v>
      </c>
      <c r="BX160" s="20">
        <f>BW160/O160</f>
        <v>60</v>
      </c>
      <c r="CJ160">
        <f>A160*1</f>
        <v>1422</v>
      </c>
      <c r="CK160" s="2" t="s">
        <v>481</v>
      </c>
      <c r="CL160" t="s">
        <v>33</v>
      </c>
    </row>
    <row r="161" spans="1:90" ht="12.75">
      <c r="A161" s="18">
        <v>1422</v>
      </c>
      <c r="B161" s="14" t="s">
        <v>1077</v>
      </c>
      <c r="C161" s="14" t="s">
        <v>558</v>
      </c>
      <c r="D161" s="14" t="s">
        <v>259</v>
      </c>
      <c r="E161" s="14" t="s">
        <v>271</v>
      </c>
      <c r="F161" s="33" t="s">
        <v>174</v>
      </c>
      <c r="G161" s="2"/>
      <c r="H161" s="2" t="s">
        <v>428</v>
      </c>
      <c r="I161" s="2" t="s">
        <v>911</v>
      </c>
      <c r="J161" s="14" t="s">
        <v>326</v>
      </c>
      <c r="K161" s="2" t="s">
        <v>481</v>
      </c>
      <c r="L161" s="14" t="s">
        <v>410</v>
      </c>
      <c r="M161" s="14" t="s">
        <v>756</v>
      </c>
      <c r="N161" s="2" t="s">
        <v>1427</v>
      </c>
      <c r="O161" s="10">
        <v>1.5</v>
      </c>
      <c r="U161" s="45">
        <f>O161*V161</f>
        <v>81</v>
      </c>
      <c r="V161" s="45">
        <f>12*X161</f>
        <v>54</v>
      </c>
      <c r="X161" s="6">
        <f>4+10/20</f>
        <v>4.5</v>
      </c>
      <c r="AB161" s="45"/>
      <c r="AF161" s="23">
        <f>O161*X161</f>
        <v>6.75</v>
      </c>
      <c r="AG161">
        <v>4</v>
      </c>
      <c r="AH161">
        <v>10</v>
      </c>
      <c r="AI161">
        <v>0</v>
      </c>
      <c r="AJ161" s="23">
        <f>X161*1</f>
        <v>4.5</v>
      </c>
      <c r="AK161" s="23"/>
      <c r="AY161" s="23">
        <v>4.5</v>
      </c>
      <c r="BC161" s="7"/>
      <c r="BP161" s="34"/>
      <c r="BS161" s="21"/>
      <c r="BW161" s="20">
        <f>U161+(BO161*12*O161)+BT161</f>
        <v>81</v>
      </c>
      <c r="BX161" s="20">
        <f>BW161/O161</f>
        <v>54</v>
      </c>
      <c r="CJ161">
        <f>A161*1</f>
        <v>1422</v>
      </c>
      <c r="CK161" s="2" t="s">
        <v>481</v>
      </c>
      <c r="CL161" t="s">
        <v>444</v>
      </c>
    </row>
    <row r="162" spans="1:89" ht="12.75">
      <c r="A162" s="18"/>
      <c r="E162" s="14"/>
      <c r="F162" s="33"/>
      <c r="G162" s="2"/>
      <c r="K162" s="2"/>
      <c r="X162" s="6"/>
      <c r="AB162" s="45"/>
      <c r="AF162" s="23"/>
      <c r="AJ162" s="23"/>
      <c r="AK162" s="23"/>
      <c r="BD162" s="23"/>
      <c r="BP162" s="34"/>
      <c r="BS162" s="21"/>
      <c r="BW162" s="20"/>
      <c r="BX162" s="20"/>
      <c r="CK162" s="2"/>
    </row>
    <row r="163" spans="1:90" ht="12.75">
      <c r="A163" s="18">
        <v>1423</v>
      </c>
      <c r="B163" s="14" t="s">
        <v>952</v>
      </c>
      <c r="C163" s="14" t="s">
        <v>300</v>
      </c>
      <c r="D163" s="14" t="s">
        <v>259</v>
      </c>
      <c r="E163" s="14" t="s">
        <v>265</v>
      </c>
      <c r="F163" s="33" t="s">
        <v>175</v>
      </c>
      <c r="G163" s="2"/>
      <c r="H163" s="2" t="s">
        <v>428</v>
      </c>
      <c r="I163" s="2" t="s">
        <v>517</v>
      </c>
      <c r="J163" s="14" t="s">
        <v>326</v>
      </c>
      <c r="K163" s="2" t="s">
        <v>440</v>
      </c>
      <c r="L163" s="14" t="s">
        <v>410</v>
      </c>
      <c r="M163" s="14" t="s">
        <v>357</v>
      </c>
      <c r="N163" s="2" t="s">
        <v>6</v>
      </c>
      <c r="O163" s="10">
        <v>3</v>
      </c>
      <c r="U163" s="45">
        <f>O163*V163</f>
        <v>115.20000000000002</v>
      </c>
      <c r="V163" s="45">
        <f>12*X163</f>
        <v>38.400000000000006</v>
      </c>
      <c r="X163" s="6">
        <f>3+4/20</f>
        <v>3.2</v>
      </c>
      <c r="AC163">
        <v>9</v>
      </c>
      <c r="AD163">
        <v>12</v>
      </c>
      <c r="AE163">
        <v>0</v>
      </c>
      <c r="AF163" s="23">
        <f>AC163+AD163/20+AE163/240</f>
        <v>9.6</v>
      </c>
      <c r="AG163">
        <v>3</v>
      </c>
      <c r="AH163">
        <v>4</v>
      </c>
      <c r="AI163">
        <v>0</v>
      </c>
      <c r="AJ163" s="23">
        <f>X163*1</f>
        <v>3.2</v>
      </c>
      <c r="AK163" s="23"/>
      <c r="BD163" s="23">
        <v>3.2</v>
      </c>
      <c r="BG163" s="23">
        <v>3.2</v>
      </c>
      <c r="BP163" s="34"/>
      <c r="BS163" s="21"/>
      <c r="BW163" s="20">
        <f>U163+(BO163*12*O163)+BT163</f>
        <v>115.20000000000002</v>
      </c>
      <c r="BX163" s="20">
        <f>BW163/O163</f>
        <v>38.400000000000006</v>
      </c>
      <c r="CJ163">
        <f>A163*1</f>
        <v>1423</v>
      </c>
      <c r="CK163" s="2" t="s">
        <v>440</v>
      </c>
      <c r="CL163" t="s">
        <v>1043</v>
      </c>
    </row>
    <row r="164" spans="1:89" ht="12.75">
      <c r="A164" s="18"/>
      <c r="E164" s="14"/>
      <c r="F164" s="33"/>
      <c r="G164" s="2"/>
      <c r="K164" s="2"/>
      <c r="U164" s="45"/>
      <c r="V164" s="45"/>
      <c r="X164" s="6"/>
      <c r="AB164" s="45"/>
      <c r="AJ164" s="23"/>
      <c r="AK164" s="23"/>
      <c r="AV164" s="7"/>
      <c r="AW164" s="7"/>
      <c r="BE164" s="19"/>
      <c r="BF164" s="19"/>
      <c r="BP164" s="34"/>
      <c r="BS164" s="21"/>
      <c r="CK164" s="2"/>
    </row>
    <row r="165" spans="1:90" ht="12.75">
      <c r="A165" s="18">
        <v>1423</v>
      </c>
      <c r="B165" s="14" t="s">
        <v>952</v>
      </c>
      <c r="C165" s="14" t="s">
        <v>558</v>
      </c>
      <c r="D165" s="14" t="s">
        <v>259</v>
      </c>
      <c r="E165" s="14" t="s">
        <v>272</v>
      </c>
      <c r="F165" s="33" t="s">
        <v>176</v>
      </c>
      <c r="G165" s="2">
        <v>1</v>
      </c>
      <c r="H165" s="2" t="s">
        <v>428</v>
      </c>
      <c r="I165" s="2" t="s">
        <v>700</v>
      </c>
      <c r="J165" s="14" t="s">
        <v>326</v>
      </c>
      <c r="K165" s="2" t="s">
        <v>460</v>
      </c>
      <c r="L165" s="14" t="s">
        <v>410</v>
      </c>
      <c r="M165" s="14" t="s">
        <v>1002</v>
      </c>
      <c r="N165" s="2" t="s">
        <v>536</v>
      </c>
      <c r="O165" s="10">
        <v>11</v>
      </c>
      <c r="U165" s="45">
        <f aca="true" t="shared" si="59" ref="U165:U171">O165*V165</f>
        <v>924</v>
      </c>
      <c r="V165" s="45">
        <f aca="true" t="shared" si="60" ref="V165:V171">12*X165</f>
        <v>84</v>
      </c>
      <c r="W165" s="23">
        <f>(V165*20)/33</f>
        <v>50.90909090909091</v>
      </c>
      <c r="X165" s="6">
        <v>7</v>
      </c>
      <c r="AB165" s="45"/>
      <c r="AF165" s="23">
        <f>X165*O165</f>
        <v>77</v>
      </c>
      <c r="AG165">
        <v>7</v>
      </c>
      <c r="AH165">
        <v>0</v>
      </c>
      <c r="AI165">
        <v>0</v>
      </c>
      <c r="AJ165" s="23">
        <f aca="true" t="shared" si="61" ref="AJ165:AJ171">X165*1</f>
        <v>7</v>
      </c>
      <c r="AK165" s="23">
        <f>W165/12</f>
        <v>4.242424242424242</v>
      </c>
      <c r="AU165" s="23"/>
      <c r="AV165" s="7"/>
      <c r="AW165" s="7"/>
      <c r="AX165" s="23"/>
      <c r="AY165" s="23">
        <v>7</v>
      </c>
      <c r="BD165" s="7"/>
      <c r="BE165" s="19"/>
      <c r="BF165" s="19"/>
      <c r="BP165" s="34"/>
      <c r="BS165" s="21"/>
      <c r="BW165" s="20">
        <f aca="true" t="shared" si="62" ref="BW165:BW171">U165+(BO165*12*O165)+BT165</f>
        <v>924</v>
      </c>
      <c r="BX165" s="20">
        <f aca="true" t="shared" si="63" ref="BX165:BX171">BW165/O165</f>
        <v>84</v>
      </c>
      <c r="CJ165">
        <f aca="true" t="shared" si="64" ref="CJ165:CJ171">A165*1</f>
        <v>1423</v>
      </c>
      <c r="CK165" s="2" t="s">
        <v>460</v>
      </c>
      <c r="CL165" t="s">
        <v>1027</v>
      </c>
    </row>
    <row r="166" spans="1:90" ht="12.75">
      <c r="A166" s="18">
        <v>1423</v>
      </c>
      <c r="B166" s="14" t="s">
        <v>952</v>
      </c>
      <c r="C166" s="14" t="s">
        <v>558</v>
      </c>
      <c r="D166" s="14" t="s">
        <v>259</v>
      </c>
      <c r="E166" s="14" t="s">
        <v>272</v>
      </c>
      <c r="F166" s="33" t="s">
        <v>177</v>
      </c>
      <c r="G166" s="2">
        <v>1</v>
      </c>
      <c r="H166" s="2" t="s">
        <v>3</v>
      </c>
      <c r="I166" s="2" t="s">
        <v>725</v>
      </c>
      <c r="J166" s="14" t="s">
        <v>326</v>
      </c>
      <c r="K166" s="2" t="s">
        <v>721</v>
      </c>
      <c r="L166" s="14" t="s">
        <v>1422</v>
      </c>
      <c r="M166" s="14" t="s">
        <v>1465</v>
      </c>
      <c r="N166" s="2" t="s">
        <v>534</v>
      </c>
      <c r="O166" s="10">
        <v>11</v>
      </c>
      <c r="U166" s="45">
        <f t="shared" si="59"/>
        <v>924</v>
      </c>
      <c r="V166" s="45">
        <f t="shared" si="60"/>
        <v>84</v>
      </c>
      <c r="W166" s="23">
        <f>(V166*20)/33</f>
        <v>50.90909090909091</v>
      </c>
      <c r="X166" s="6">
        <v>7</v>
      </c>
      <c r="AB166" s="45"/>
      <c r="AF166" s="23">
        <f>X166*O166</f>
        <v>77</v>
      </c>
      <c r="AG166">
        <v>7</v>
      </c>
      <c r="AH166">
        <v>0</v>
      </c>
      <c r="AI166">
        <v>0</v>
      </c>
      <c r="AJ166" s="23">
        <f t="shared" si="61"/>
        <v>7</v>
      </c>
      <c r="AK166" s="23">
        <f>W166/12</f>
        <v>4.242424242424242</v>
      </c>
      <c r="AV166" s="7"/>
      <c r="AW166" s="7"/>
      <c r="BD166" s="7"/>
      <c r="BE166" s="19"/>
      <c r="BF166" s="19"/>
      <c r="BP166" s="34"/>
      <c r="BS166" s="21"/>
      <c r="BW166" s="20">
        <f t="shared" si="62"/>
        <v>924</v>
      </c>
      <c r="BX166" s="20">
        <f t="shared" si="63"/>
        <v>84</v>
      </c>
      <c r="CJ166">
        <f t="shared" si="64"/>
        <v>1423</v>
      </c>
      <c r="CK166" s="2" t="s">
        <v>721</v>
      </c>
      <c r="CL166" t="s">
        <v>1027</v>
      </c>
    </row>
    <row r="167" spans="1:90" ht="12.75">
      <c r="A167" s="18">
        <v>1423</v>
      </c>
      <c r="B167" s="14" t="s">
        <v>952</v>
      </c>
      <c r="C167" s="14" t="s">
        <v>558</v>
      </c>
      <c r="D167" s="14" t="s">
        <v>259</v>
      </c>
      <c r="E167" s="14" t="s">
        <v>272</v>
      </c>
      <c r="F167" s="33" t="s">
        <v>178</v>
      </c>
      <c r="G167" s="2">
        <v>1</v>
      </c>
      <c r="H167" s="2" t="s">
        <v>428</v>
      </c>
      <c r="I167" s="2" t="s">
        <v>1522</v>
      </c>
      <c r="J167" s="14" t="s">
        <v>326</v>
      </c>
      <c r="K167" s="2" t="s">
        <v>499</v>
      </c>
      <c r="L167" s="14" t="s">
        <v>410</v>
      </c>
      <c r="M167" s="14" t="s">
        <v>1460</v>
      </c>
      <c r="N167" s="2" t="s">
        <v>1500</v>
      </c>
      <c r="O167" s="10">
        <v>11</v>
      </c>
      <c r="U167" s="45">
        <f t="shared" si="59"/>
        <v>528</v>
      </c>
      <c r="V167" s="45">
        <f t="shared" si="60"/>
        <v>48</v>
      </c>
      <c r="W167" s="23">
        <f>(V167*20)/36</f>
        <v>26.666666666666668</v>
      </c>
      <c r="X167" s="6">
        <v>4</v>
      </c>
      <c r="AB167" s="45"/>
      <c r="AF167" s="23">
        <f>X167*O167</f>
        <v>44</v>
      </c>
      <c r="AG167">
        <v>4</v>
      </c>
      <c r="AH167">
        <v>0</v>
      </c>
      <c r="AI167">
        <v>0</v>
      </c>
      <c r="AJ167" s="23">
        <f t="shared" si="61"/>
        <v>4</v>
      </c>
      <c r="AK167" s="23">
        <f>W167/12</f>
        <v>2.2222222222222223</v>
      </c>
      <c r="AV167" s="7"/>
      <c r="AW167" s="7"/>
      <c r="BD167" s="7"/>
      <c r="BE167" s="19"/>
      <c r="BF167" s="19"/>
      <c r="BG167" s="7"/>
      <c r="BP167" s="34"/>
      <c r="BS167" s="21"/>
      <c r="BW167" s="20">
        <f t="shared" si="62"/>
        <v>528</v>
      </c>
      <c r="BX167" s="20">
        <f t="shared" si="63"/>
        <v>48</v>
      </c>
      <c r="CJ167">
        <f t="shared" si="64"/>
        <v>1423</v>
      </c>
      <c r="CK167" s="2" t="s">
        <v>499</v>
      </c>
      <c r="CL167" t="s">
        <v>1029</v>
      </c>
    </row>
    <row r="168" spans="1:90" ht="12.75">
      <c r="A168" s="18">
        <v>1423</v>
      </c>
      <c r="B168" s="14" t="s">
        <v>952</v>
      </c>
      <c r="C168" s="14" t="s">
        <v>558</v>
      </c>
      <c r="D168" s="14" t="s">
        <v>259</v>
      </c>
      <c r="E168" s="14" t="s">
        <v>272</v>
      </c>
      <c r="F168" s="33" t="s">
        <v>179</v>
      </c>
      <c r="G168" s="2">
        <v>1</v>
      </c>
      <c r="H168" s="2" t="s">
        <v>428</v>
      </c>
      <c r="I168" s="2" t="s">
        <v>830</v>
      </c>
      <c r="J168" s="14" t="s">
        <v>326</v>
      </c>
      <c r="K168" s="2" t="s">
        <v>475</v>
      </c>
      <c r="L168" s="14" t="s">
        <v>408</v>
      </c>
      <c r="M168" s="14" t="s">
        <v>751</v>
      </c>
      <c r="N168" s="2" t="s">
        <v>567</v>
      </c>
      <c r="O168" s="10">
        <v>1</v>
      </c>
      <c r="U168" s="45">
        <f t="shared" si="59"/>
        <v>58.800000000000004</v>
      </c>
      <c r="V168" s="45">
        <f t="shared" si="60"/>
        <v>58.800000000000004</v>
      </c>
      <c r="X168" s="6">
        <f>4+18/20</f>
        <v>4.9</v>
      </c>
      <c r="AB168" s="45"/>
      <c r="AC168">
        <v>4</v>
      </c>
      <c r="AD168">
        <v>18</v>
      </c>
      <c r="AE168">
        <v>0</v>
      </c>
      <c r="AF168" s="23">
        <f>AC168+AD168/20+AE168/240</f>
        <v>4.9</v>
      </c>
      <c r="AG168">
        <v>4</v>
      </c>
      <c r="AH168">
        <v>18</v>
      </c>
      <c r="AI168">
        <v>0</v>
      </c>
      <c r="AJ168" s="23">
        <f t="shared" si="61"/>
        <v>4.9</v>
      </c>
      <c r="AK168" s="23"/>
      <c r="AV168" s="7"/>
      <c r="AW168" s="7"/>
      <c r="AX168" s="23">
        <v>4.9</v>
      </c>
      <c r="BD168" s="7"/>
      <c r="BE168" s="19"/>
      <c r="BF168" s="19"/>
      <c r="BG168" s="7"/>
      <c r="BP168" s="34"/>
      <c r="BS168" s="21"/>
      <c r="BW168" s="20">
        <f t="shared" si="62"/>
        <v>58.800000000000004</v>
      </c>
      <c r="BX168" s="20">
        <f t="shared" si="63"/>
        <v>58.800000000000004</v>
      </c>
      <c r="CJ168">
        <f t="shared" si="64"/>
        <v>1423</v>
      </c>
      <c r="CK168" s="2" t="s">
        <v>475</v>
      </c>
      <c r="CL168" t="s">
        <v>1020</v>
      </c>
    </row>
    <row r="169" spans="1:90" ht="12.75">
      <c r="A169" s="18">
        <v>1423</v>
      </c>
      <c r="B169" s="14" t="s">
        <v>952</v>
      </c>
      <c r="C169" s="14" t="s">
        <v>558</v>
      </c>
      <c r="D169" s="14" t="s">
        <v>259</v>
      </c>
      <c r="E169" s="14" t="s">
        <v>272</v>
      </c>
      <c r="F169" s="33" t="s">
        <v>180</v>
      </c>
      <c r="G169" s="2">
        <v>1</v>
      </c>
      <c r="H169" s="2" t="s">
        <v>428</v>
      </c>
      <c r="I169" s="2" t="s">
        <v>910</v>
      </c>
      <c r="J169" s="14" t="s">
        <v>326</v>
      </c>
      <c r="K169" s="2" t="s">
        <v>482</v>
      </c>
      <c r="L169" s="14" t="s">
        <v>410</v>
      </c>
      <c r="M169" s="14" t="s">
        <v>342</v>
      </c>
      <c r="N169" s="2" t="s">
        <v>288</v>
      </c>
      <c r="O169" s="10">
        <v>1</v>
      </c>
      <c r="U169" s="45">
        <f t="shared" si="59"/>
        <v>38.400000000000006</v>
      </c>
      <c r="V169" s="45">
        <f t="shared" si="60"/>
        <v>38.400000000000006</v>
      </c>
      <c r="X169" s="6">
        <f>3+4/20</f>
        <v>3.2</v>
      </c>
      <c r="AB169" s="45"/>
      <c r="AC169">
        <v>3</v>
      </c>
      <c r="AD169">
        <v>4</v>
      </c>
      <c r="AE169">
        <v>0</v>
      </c>
      <c r="AF169" s="23">
        <f>AC169+AD169/20+AE169/240</f>
        <v>3.2</v>
      </c>
      <c r="AG169">
        <v>3</v>
      </c>
      <c r="AH169">
        <v>4</v>
      </c>
      <c r="AI169">
        <v>0</v>
      </c>
      <c r="AJ169" s="23">
        <f t="shared" si="61"/>
        <v>3.2</v>
      </c>
      <c r="AK169" s="23"/>
      <c r="BB169" s="23">
        <v>3.2</v>
      </c>
      <c r="BP169" s="34"/>
      <c r="BS169" s="21"/>
      <c r="BW169" s="20">
        <f t="shared" si="62"/>
        <v>38.400000000000006</v>
      </c>
      <c r="BX169" s="20">
        <f t="shared" si="63"/>
        <v>38.400000000000006</v>
      </c>
      <c r="CJ169">
        <f t="shared" si="64"/>
        <v>1423</v>
      </c>
      <c r="CK169" s="2" t="s">
        <v>482</v>
      </c>
      <c r="CL169" t="s">
        <v>1039</v>
      </c>
    </row>
    <row r="170" spans="1:89" ht="12.75">
      <c r="A170" s="18">
        <v>1423</v>
      </c>
      <c r="B170" s="14" t="s">
        <v>952</v>
      </c>
      <c r="C170" s="14" t="s">
        <v>558</v>
      </c>
      <c r="D170" s="14" t="s">
        <v>259</v>
      </c>
      <c r="E170" s="14" t="s">
        <v>272</v>
      </c>
      <c r="F170" s="33" t="s">
        <v>181</v>
      </c>
      <c r="G170" s="2">
        <v>1</v>
      </c>
      <c r="H170" s="2" t="s">
        <v>428</v>
      </c>
      <c r="I170" s="2" t="s">
        <v>1228</v>
      </c>
      <c r="J170" s="14" t="s">
        <v>326</v>
      </c>
      <c r="K170" s="2" t="s">
        <v>490</v>
      </c>
      <c r="L170" s="14" t="s">
        <v>410</v>
      </c>
      <c r="M170" s="14" t="s">
        <v>1177</v>
      </c>
      <c r="N170" s="2" t="s">
        <v>636</v>
      </c>
      <c r="O170" s="10">
        <v>1</v>
      </c>
      <c r="U170" s="45">
        <f t="shared" si="59"/>
        <v>36</v>
      </c>
      <c r="V170" s="45">
        <f t="shared" si="60"/>
        <v>36</v>
      </c>
      <c r="X170" s="6">
        <v>3</v>
      </c>
      <c r="AB170" s="45"/>
      <c r="AC170">
        <v>3</v>
      </c>
      <c r="AD170">
        <v>0</v>
      </c>
      <c r="AE170">
        <v>0</v>
      </c>
      <c r="AF170" s="23">
        <f>AC170+AD170/20+AE170/240</f>
        <v>3</v>
      </c>
      <c r="AG170">
        <v>3</v>
      </c>
      <c r="AH170">
        <v>0</v>
      </c>
      <c r="AI170">
        <v>0</v>
      </c>
      <c r="AJ170" s="23">
        <f t="shared" si="61"/>
        <v>3</v>
      </c>
      <c r="AK170" s="23"/>
      <c r="AX170" s="23">
        <v>3</v>
      </c>
      <c r="BP170" s="34"/>
      <c r="BS170" s="21"/>
      <c r="BW170" s="20">
        <f t="shared" si="62"/>
        <v>36</v>
      </c>
      <c r="BX170" s="20">
        <f t="shared" si="63"/>
        <v>36</v>
      </c>
      <c r="CJ170">
        <f t="shared" si="64"/>
        <v>1423</v>
      </c>
      <c r="CK170" s="2" t="s">
        <v>490</v>
      </c>
    </row>
    <row r="171" spans="1:89" ht="12.75">
      <c r="A171" s="18">
        <v>1423</v>
      </c>
      <c r="B171" s="14" t="s">
        <v>952</v>
      </c>
      <c r="C171" s="14" t="s">
        <v>558</v>
      </c>
      <c r="D171" s="14" t="s">
        <v>259</v>
      </c>
      <c r="E171" s="14" t="s">
        <v>272</v>
      </c>
      <c r="F171" s="33" t="s">
        <v>182</v>
      </c>
      <c r="G171" s="2">
        <v>1</v>
      </c>
      <c r="H171" s="2" t="s">
        <v>428</v>
      </c>
      <c r="I171" s="2" t="s">
        <v>908</v>
      </c>
      <c r="J171" s="14" t="s">
        <v>326</v>
      </c>
      <c r="K171" s="2" t="s">
        <v>480</v>
      </c>
      <c r="L171" s="14" t="s">
        <v>410</v>
      </c>
      <c r="M171" s="14" t="s">
        <v>749</v>
      </c>
      <c r="N171" s="2" t="s">
        <v>1361</v>
      </c>
      <c r="O171" s="10">
        <v>1</v>
      </c>
      <c r="U171" s="45">
        <f t="shared" si="59"/>
        <v>37.2</v>
      </c>
      <c r="V171" s="45">
        <f t="shared" si="60"/>
        <v>37.2</v>
      </c>
      <c r="X171" s="6">
        <f>3+2/20</f>
        <v>3.1</v>
      </c>
      <c r="AB171" s="45"/>
      <c r="AC171">
        <v>3</v>
      </c>
      <c r="AD171">
        <v>2</v>
      </c>
      <c r="AE171">
        <v>0</v>
      </c>
      <c r="AF171" s="23">
        <f>AC171+AD171/20+AE171/240</f>
        <v>3.1</v>
      </c>
      <c r="AG171">
        <v>3</v>
      </c>
      <c r="AH171">
        <v>2</v>
      </c>
      <c r="AI171">
        <v>0</v>
      </c>
      <c r="AJ171" s="23">
        <f t="shared" si="61"/>
        <v>3.1</v>
      </c>
      <c r="AK171" s="23"/>
      <c r="AV171" s="7"/>
      <c r="AX171" s="7"/>
      <c r="BE171" s="23">
        <v>3.1</v>
      </c>
      <c r="BP171" s="34"/>
      <c r="BS171" s="21"/>
      <c r="BW171" s="20">
        <f t="shared" si="62"/>
        <v>37.2</v>
      </c>
      <c r="BX171" s="20">
        <f t="shared" si="63"/>
        <v>37.2</v>
      </c>
      <c r="CJ171">
        <f t="shared" si="64"/>
        <v>1423</v>
      </c>
      <c r="CK171" s="2" t="s">
        <v>480</v>
      </c>
    </row>
    <row r="172" spans="1:89" ht="12.75">
      <c r="A172" s="18"/>
      <c r="E172" s="14"/>
      <c r="F172" s="33"/>
      <c r="G172" s="2"/>
      <c r="K172" s="2"/>
      <c r="X172" s="6"/>
      <c r="AB172" s="45"/>
      <c r="AF172" s="23"/>
      <c r="AJ172" s="23"/>
      <c r="AK172" s="23"/>
      <c r="AU172" s="7"/>
      <c r="AY172" s="7"/>
      <c r="AZ172" s="19"/>
      <c r="BB172" s="7"/>
      <c r="BE172" s="23"/>
      <c r="BP172" s="34"/>
      <c r="BS172" s="21"/>
      <c r="BW172" s="20"/>
      <c r="BX172" s="20"/>
      <c r="CK172" s="2"/>
    </row>
    <row r="173" spans="1:90" ht="12.75">
      <c r="A173" s="18">
        <v>1423</v>
      </c>
      <c r="B173" s="14" t="s">
        <v>952</v>
      </c>
      <c r="C173" s="14" t="s">
        <v>558</v>
      </c>
      <c r="D173" s="14" t="s">
        <v>259</v>
      </c>
      <c r="E173" s="14" t="s">
        <v>272</v>
      </c>
      <c r="F173" s="33" t="s">
        <v>183</v>
      </c>
      <c r="G173" s="2">
        <v>2</v>
      </c>
      <c r="H173" s="2" t="s">
        <v>428</v>
      </c>
      <c r="I173" s="2" t="s">
        <v>839</v>
      </c>
      <c r="J173" s="14" t="s">
        <v>326</v>
      </c>
      <c r="K173" s="2" t="s">
        <v>473</v>
      </c>
      <c r="L173" s="14" t="s">
        <v>410</v>
      </c>
      <c r="M173" s="14" t="s">
        <v>745</v>
      </c>
      <c r="N173" s="2" t="s">
        <v>1479</v>
      </c>
      <c r="O173" s="10">
        <v>1</v>
      </c>
      <c r="U173" s="45">
        <f aca="true" t="shared" si="65" ref="U173:U179">O173*V173</f>
        <v>38.400000000000006</v>
      </c>
      <c r="V173" s="45">
        <f aca="true" t="shared" si="66" ref="V173:V179">12*X173</f>
        <v>38.400000000000006</v>
      </c>
      <c r="X173" s="6">
        <f>3+4/20</f>
        <v>3.2</v>
      </c>
      <c r="AC173">
        <v>3</v>
      </c>
      <c r="AD173">
        <v>4</v>
      </c>
      <c r="AE173">
        <v>0</v>
      </c>
      <c r="AF173" s="23">
        <f>AC173+AD173/20+AE173/240</f>
        <v>3.2</v>
      </c>
      <c r="AG173">
        <v>3</v>
      </c>
      <c r="AH173">
        <v>4</v>
      </c>
      <c r="AI173">
        <v>0</v>
      </c>
      <c r="AJ173" s="23">
        <f aca="true" t="shared" si="67" ref="AJ173:AJ179">X173*1</f>
        <v>3.2</v>
      </c>
      <c r="AK173" s="23"/>
      <c r="AX173" s="7"/>
      <c r="BF173" s="23"/>
      <c r="BG173" s="23">
        <v>3.2</v>
      </c>
      <c r="BS173" s="21"/>
      <c r="BW173" s="20">
        <f aca="true" t="shared" si="68" ref="BW173:BW179">U173+(BO173*12*O173)+BT173</f>
        <v>38.400000000000006</v>
      </c>
      <c r="BX173" s="20">
        <f aca="true" t="shared" si="69" ref="BX173:BX179">BW173/O173</f>
        <v>38.400000000000006</v>
      </c>
      <c r="CJ173">
        <f aca="true" t="shared" si="70" ref="CJ173:CJ179">A173*1</f>
        <v>1423</v>
      </c>
      <c r="CK173" s="2" t="s">
        <v>473</v>
      </c>
      <c r="CL173" t="s">
        <v>1017</v>
      </c>
    </row>
    <row r="174" spans="1:89" ht="12.75">
      <c r="A174" s="18">
        <v>1423</v>
      </c>
      <c r="B174" s="14" t="s">
        <v>952</v>
      </c>
      <c r="C174" s="14" t="s">
        <v>558</v>
      </c>
      <c r="D174" s="14" t="s">
        <v>259</v>
      </c>
      <c r="E174" s="14" t="s">
        <v>272</v>
      </c>
      <c r="F174" s="33" t="s">
        <v>184</v>
      </c>
      <c r="G174" s="2">
        <v>2</v>
      </c>
      <c r="H174" s="2" t="s">
        <v>591</v>
      </c>
      <c r="I174" s="2" t="s">
        <v>387</v>
      </c>
      <c r="J174" s="14" t="s">
        <v>326</v>
      </c>
      <c r="K174" s="2" t="s">
        <v>593</v>
      </c>
      <c r="L174" s="14" t="s">
        <v>585</v>
      </c>
      <c r="M174" s="14" t="s">
        <v>327</v>
      </c>
      <c r="N174" s="2" t="s">
        <v>762</v>
      </c>
      <c r="O174" s="10">
        <v>5</v>
      </c>
      <c r="U174" s="45">
        <f t="shared" si="65"/>
        <v>82.5</v>
      </c>
      <c r="V174" s="45">
        <f t="shared" si="66"/>
        <v>16.5</v>
      </c>
      <c r="X174" s="6">
        <f>1+7/20+6/240</f>
        <v>1.375</v>
      </c>
      <c r="AB174" s="45"/>
      <c r="AF174" s="23">
        <f>O174*X174</f>
        <v>6.875</v>
      </c>
      <c r="AG174">
        <v>1</v>
      </c>
      <c r="AH174">
        <v>7</v>
      </c>
      <c r="AI174">
        <v>6</v>
      </c>
      <c r="AJ174" s="23">
        <f t="shared" si="67"/>
        <v>1.375</v>
      </c>
      <c r="AK174" s="23"/>
      <c r="AY174" s="7"/>
      <c r="AZ174" s="19"/>
      <c r="BG174" s="23">
        <v>1.375</v>
      </c>
      <c r="BP174" s="34"/>
      <c r="BS174" s="21"/>
      <c r="BW174" s="20">
        <f t="shared" si="68"/>
        <v>82.5</v>
      </c>
      <c r="BX174" s="20">
        <f t="shared" si="69"/>
        <v>16.5</v>
      </c>
      <c r="CJ174">
        <f t="shared" si="70"/>
        <v>1423</v>
      </c>
      <c r="CK174" s="2" t="s">
        <v>593</v>
      </c>
    </row>
    <row r="175" spans="1:89" ht="12.75">
      <c r="A175" s="18">
        <v>1423</v>
      </c>
      <c r="B175" s="14" t="s">
        <v>952</v>
      </c>
      <c r="C175" s="14" t="s">
        <v>558</v>
      </c>
      <c r="D175" s="14" t="s">
        <v>259</v>
      </c>
      <c r="E175" s="14" t="s">
        <v>272</v>
      </c>
      <c r="F175" s="33" t="s">
        <v>185</v>
      </c>
      <c r="G175" s="2">
        <v>2</v>
      </c>
      <c r="H175" s="2" t="s">
        <v>591</v>
      </c>
      <c r="I175" s="2" t="s">
        <v>523</v>
      </c>
      <c r="J175" s="14" t="s">
        <v>326</v>
      </c>
      <c r="K175" s="2" t="s">
        <v>597</v>
      </c>
      <c r="L175" s="14" t="s">
        <v>585</v>
      </c>
      <c r="M175" s="14" t="s">
        <v>347</v>
      </c>
      <c r="N175" s="2" t="s">
        <v>250</v>
      </c>
      <c r="O175" s="10">
        <v>1</v>
      </c>
      <c r="U175" s="45">
        <f t="shared" si="65"/>
        <v>16.5</v>
      </c>
      <c r="V175" s="45">
        <f t="shared" si="66"/>
        <v>16.5</v>
      </c>
      <c r="X175" s="6">
        <f>1+7/20+6/240</f>
        <v>1.375</v>
      </c>
      <c r="AB175" s="45"/>
      <c r="AC175">
        <v>1</v>
      </c>
      <c r="AD175">
        <v>7</v>
      </c>
      <c r="AE175">
        <v>6</v>
      </c>
      <c r="AF175" s="23">
        <f>AC175+AD175/20+AE175/240</f>
        <v>1.375</v>
      </c>
      <c r="AG175">
        <v>1</v>
      </c>
      <c r="AH175">
        <v>7</v>
      </c>
      <c r="AI175">
        <v>6</v>
      </c>
      <c r="AJ175" s="23">
        <f t="shared" si="67"/>
        <v>1.375</v>
      </c>
      <c r="AK175" s="23"/>
      <c r="AY175" s="7"/>
      <c r="AZ175" s="19"/>
      <c r="BG175" s="23">
        <v>1.375</v>
      </c>
      <c r="BP175" s="34"/>
      <c r="BS175" s="21"/>
      <c r="BW175" s="20">
        <f t="shared" si="68"/>
        <v>16.5</v>
      </c>
      <c r="BX175" s="20">
        <f t="shared" si="69"/>
        <v>16.5</v>
      </c>
      <c r="CJ175">
        <f t="shared" si="70"/>
        <v>1423</v>
      </c>
      <c r="CK175" s="2" t="s">
        <v>597</v>
      </c>
    </row>
    <row r="176" spans="1:89" ht="12.75">
      <c r="A176" s="18">
        <v>1423</v>
      </c>
      <c r="B176" s="14" t="s">
        <v>952</v>
      </c>
      <c r="C176" s="14" t="s">
        <v>558</v>
      </c>
      <c r="D176" s="14" t="s">
        <v>259</v>
      </c>
      <c r="E176" s="14" t="s">
        <v>272</v>
      </c>
      <c r="F176" s="33" t="s">
        <v>186</v>
      </c>
      <c r="G176" s="2">
        <v>2</v>
      </c>
      <c r="H176" s="2" t="s">
        <v>591</v>
      </c>
      <c r="I176" s="2" t="s">
        <v>841</v>
      </c>
      <c r="J176" s="14" t="s">
        <v>326</v>
      </c>
      <c r="K176" s="2" t="s">
        <v>600</v>
      </c>
      <c r="L176" s="14" t="s">
        <v>585</v>
      </c>
      <c r="M176" s="14" t="s">
        <v>745</v>
      </c>
      <c r="N176" s="2" t="s">
        <v>14</v>
      </c>
      <c r="O176" s="10">
        <v>1</v>
      </c>
      <c r="U176" s="45">
        <f t="shared" si="65"/>
        <v>16.5</v>
      </c>
      <c r="V176" s="45">
        <f t="shared" si="66"/>
        <v>16.5</v>
      </c>
      <c r="X176" s="6">
        <f>1+7/20+6/240</f>
        <v>1.375</v>
      </c>
      <c r="AB176" s="45"/>
      <c r="AC176">
        <v>1</v>
      </c>
      <c r="AD176">
        <v>7</v>
      </c>
      <c r="AE176">
        <v>6</v>
      </c>
      <c r="AF176" s="23">
        <f>AC176+AD176/20+AE176/240</f>
        <v>1.375</v>
      </c>
      <c r="AG176">
        <v>1</v>
      </c>
      <c r="AH176">
        <v>7</v>
      </c>
      <c r="AI176">
        <v>6</v>
      </c>
      <c r="AJ176" s="23">
        <f t="shared" si="67"/>
        <v>1.375</v>
      </c>
      <c r="AK176" s="23"/>
      <c r="AL176" s="23"/>
      <c r="AY176" s="19"/>
      <c r="AZ176" s="7"/>
      <c r="BG176" s="23">
        <v>1.375</v>
      </c>
      <c r="BP176" s="34"/>
      <c r="BS176" s="21"/>
      <c r="BW176" s="20">
        <f t="shared" si="68"/>
        <v>16.5</v>
      </c>
      <c r="BX176" s="20">
        <f t="shared" si="69"/>
        <v>16.5</v>
      </c>
      <c r="CJ176">
        <f t="shared" si="70"/>
        <v>1423</v>
      </c>
      <c r="CK176" s="2" t="s">
        <v>600</v>
      </c>
    </row>
    <row r="177" spans="1:89" ht="12.75">
      <c r="A177" s="18">
        <v>1423</v>
      </c>
      <c r="B177" s="14" t="s">
        <v>952</v>
      </c>
      <c r="C177" s="14" t="s">
        <v>558</v>
      </c>
      <c r="D177" s="14" t="s">
        <v>259</v>
      </c>
      <c r="E177" s="14" t="s">
        <v>272</v>
      </c>
      <c r="F177" s="33" t="s">
        <v>187</v>
      </c>
      <c r="G177" s="2">
        <v>2</v>
      </c>
      <c r="H177" s="2" t="s">
        <v>591</v>
      </c>
      <c r="I177" s="2" t="s">
        <v>1231</v>
      </c>
      <c r="J177" s="14" t="s">
        <v>326</v>
      </c>
      <c r="K177" s="2" t="s">
        <v>603</v>
      </c>
      <c r="L177" s="14" t="s">
        <v>585</v>
      </c>
      <c r="M177" s="14" t="s">
        <v>1177</v>
      </c>
      <c r="N177" s="2" t="s">
        <v>810</v>
      </c>
      <c r="O177" s="10">
        <v>1</v>
      </c>
      <c r="U177" s="45">
        <f t="shared" si="65"/>
        <v>16.5</v>
      </c>
      <c r="V177" s="45">
        <f t="shared" si="66"/>
        <v>16.5</v>
      </c>
      <c r="X177" s="6">
        <f>1+7/20+6/240</f>
        <v>1.375</v>
      </c>
      <c r="AB177" s="45"/>
      <c r="AC177">
        <v>1</v>
      </c>
      <c r="AD177">
        <v>7</v>
      </c>
      <c r="AE177">
        <v>6</v>
      </c>
      <c r="AF177" s="23">
        <f>AC177+AD177/20+AE177/240</f>
        <v>1.375</v>
      </c>
      <c r="AG177">
        <v>1</v>
      </c>
      <c r="AH177">
        <v>7</v>
      </c>
      <c r="AI177">
        <v>6</v>
      </c>
      <c r="AJ177" s="23">
        <f t="shared" si="67"/>
        <v>1.375</v>
      </c>
      <c r="AK177" s="23"/>
      <c r="BC177" s="23"/>
      <c r="BG177" s="23">
        <v>1.375</v>
      </c>
      <c r="BP177" s="34"/>
      <c r="BS177" s="21"/>
      <c r="BW177" s="20">
        <f t="shared" si="68"/>
        <v>16.5</v>
      </c>
      <c r="BX177" s="20">
        <f t="shared" si="69"/>
        <v>16.5</v>
      </c>
      <c r="CJ177">
        <f t="shared" si="70"/>
        <v>1423</v>
      </c>
      <c r="CK177" s="2" t="s">
        <v>603</v>
      </c>
    </row>
    <row r="178" spans="1:90" ht="12.75">
      <c r="A178" s="18">
        <v>1423</v>
      </c>
      <c r="B178" s="14" t="s">
        <v>952</v>
      </c>
      <c r="C178" s="14" t="s">
        <v>558</v>
      </c>
      <c r="D178" s="14" t="s">
        <v>259</v>
      </c>
      <c r="E178" s="14" t="s">
        <v>272</v>
      </c>
      <c r="F178" s="33" t="s">
        <v>188</v>
      </c>
      <c r="G178" s="2">
        <v>2</v>
      </c>
      <c r="H178" s="2" t="s">
        <v>428</v>
      </c>
      <c r="I178" s="2" t="s">
        <v>1521</v>
      </c>
      <c r="J178" s="14" t="s">
        <v>326</v>
      </c>
      <c r="K178" s="2" t="s">
        <v>498</v>
      </c>
      <c r="L178" s="14" t="s">
        <v>410</v>
      </c>
      <c r="M178" s="14" t="s">
        <v>1460</v>
      </c>
      <c r="N178" s="2" t="s">
        <v>1304</v>
      </c>
      <c r="O178" s="10">
        <v>25</v>
      </c>
      <c r="U178" s="45">
        <f t="shared" si="65"/>
        <v>1050</v>
      </c>
      <c r="V178" s="45">
        <f t="shared" si="66"/>
        <v>42</v>
      </c>
      <c r="X178" s="6">
        <f>3+10/20</f>
        <v>3.5</v>
      </c>
      <c r="AF178" s="23">
        <f>X178*O178</f>
        <v>87.5</v>
      </c>
      <c r="AG178">
        <v>3</v>
      </c>
      <c r="AH178">
        <v>10</v>
      </c>
      <c r="AI178">
        <v>0</v>
      </c>
      <c r="AJ178" s="23">
        <f t="shared" si="67"/>
        <v>3.5</v>
      </c>
      <c r="AK178" s="23"/>
      <c r="BC178" s="23">
        <v>3.5</v>
      </c>
      <c r="BD178" s="23"/>
      <c r="BS178" s="21"/>
      <c r="BW178" s="20">
        <f t="shared" si="68"/>
        <v>1050</v>
      </c>
      <c r="BX178" s="20">
        <f t="shared" si="69"/>
        <v>42</v>
      </c>
      <c r="CJ178">
        <f t="shared" si="70"/>
        <v>1423</v>
      </c>
      <c r="CK178" s="2" t="s">
        <v>498</v>
      </c>
      <c r="CL178" t="s">
        <v>1008</v>
      </c>
    </row>
    <row r="179" spans="1:90" ht="12.75">
      <c r="A179" s="18">
        <v>1423</v>
      </c>
      <c r="B179" s="14" t="s">
        <v>952</v>
      </c>
      <c r="C179" s="14" t="s">
        <v>558</v>
      </c>
      <c r="D179" s="14" t="s">
        <v>259</v>
      </c>
      <c r="E179" s="14" t="s">
        <v>272</v>
      </c>
      <c r="F179" s="33" t="s">
        <v>189</v>
      </c>
      <c r="G179" s="2">
        <v>2</v>
      </c>
      <c r="H179" s="2" t="s">
        <v>428</v>
      </c>
      <c r="I179" s="2" t="s">
        <v>383</v>
      </c>
      <c r="J179" s="14" t="s">
        <v>326</v>
      </c>
      <c r="K179" s="2" t="s">
        <v>432</v>
      </c>
      <c r="L179" s="14" t="s">
        <v>410</v>
      </c>
      <c r="M179" s="14" t="s">
        <v>327</v>
      </c>
      <c r="N179" s="2" t="s">
        <v>1304</v>
      </c>
      <c r="O179" s="10">
        <v>25</v>
      </c>
      <c r="U179" s="45">
        <f t="shared" si="65"/>
        <v>1050</v>
      </c>
      <c r="V179" s="45">
        <f t="shared" si="66"/>
        <v>42</v>
      </c>
      <c r="X179" s="6">
        <f>3+10/20</f>
        <v>3.5</v>
      </c>
      <c r="AB179" s="45"/>
      <c r="AF179" s="23">
        <f>X179*O179</f>
        <v>87.5</v>
      </c>
      <c r="AG179">
        <v>3</v>
      </c>
      <c r="AH179">
        <v>10</v>
      </c>
      <c r="AI179">
        <v>0</v>
      </c>
      <c r="AJ179" s="23">
        <f t="shared" si="67"/>
        <v>3.5</v>
      </c>
      <c r="AK179" s="23"/>
      <c r="BB179" s="7"/>
      <c r="BC179" s="23">
        <v>3.5</v>
      </c>
      <c r="BP179" s="34"/>
      <c r="BS179" s="21"/>
      <c r="BW179" s="20">
        <f t="shared" si="68"/>
        <v>1050</v>
      </c>
      <c r="BX179" s="20">
        <f t="shared" si="69"/>
        <v>42</v>
      </c>
      <c r="CJ179">
        <f t="shared" si="70"/>
        <v>1423</v>
      </c>
      <c r="CK179" s="2" t="s">
        <v>432</v>
      </c>
      <c r="CL179" t="s">
        <v>1008</v>
      </c>
    </row>
    <row r="180" spans="1:89" ht="12.75">
      <c r="A180" s="18"/>
      <c r="E180" s="14"/>
      <c r="F180" s="33"/>
      <c r="G180" s="2"/>
      <c r="K180" s="2"/>
      <c r="X180" s="6"/>
      <c r="AB180" s="45"/>
      <c r="AK180" s="23"/>
      <c r="BB180" s="7"/>
      <c r="BP180" s="34"/>
      <c r="BS180" s="21"/>
      <c r="BW180" s="20"/>
      <c r="BX180" s="20"/>
      <c r="CK180" s="2"/>
    </row>
    <row r="181" spans="1:90" ht="12.75">
      <c r="A181" s="18">
        <v>1423</v>
      </c>
      <c r="B181" s="14" t="s">
        <v>1077</v>
      </c>
      <c r="C181" s="14" t="s">
        <v>559</v>
      </c>
      <c r="D181" s="14" t="s">
        <v>260</v>
      </c>
      <c r="E181" s="14" t="s">
        <v>269</v>
      </c>
      <c r="F181" s="33" t="s">
        <v>190</v>
      </c>
      <c r="G181" s="2"/>
      <c r="H181" s="2" t="s">
        <v>428</v>
      </c>
      <c r="I181" s="2" t="s">
        <v>514</v>
      </c>
      <c r="J181" s="14" t="s">
        <v>326</v>
      </c>
      <c r="K181" s="2" t="s">
        <v>484</v>
      </c>
      <c r="L181" s="14" t="s">
        <v>408</v>
      </c>
      <c r="M181" s="14" t="s">
        <v>1067</v>
      </c>
      <c r="N181" s="2" t="s">
        <v>1494</v>
      </c>
      <c r="O181" s="10">
        <v>5.5</v>
      </c>
      <c r="U181" s="45">
        <f>O181*V181</f>
        <v>330</v>
      </c>
      <c r="V181" s="45">
        <f>12*X181</f>
        <v>60</v>
      </c>
      <c r="X181" s="6">
        <v>5</v>
      </c>
      <c r="AB181" s="45"/>
      <c r="AF181" s="23">
        <f>O181*X181</f>
        <v>27.5</v>
      </c>
      <c r="AG181">
        <v>5</v>
      </c>
      <c r="AH181">
        <v>0</v>
      </c>
      <c r="AI181">
        <v>0</v>
      </c>
      <c r="AJ181" s="23">
        <f>X181*1</f>
        <v>5</v>
      </c>
      <c r="AK181" s="23"/>
      <c r="BG181" s="7"/>
      <c r="BP181" s="34"/>
      <c r="BS181" s="21"/>
      <c r="BW181" s="20">
        <f>U181+(BO181*12*O181)+BT181</f>
        <v>330</v>
      </c>
      <c r="BX181" s="20">
        <f>BW181/O181</f>
        <v>60</v>
      </c>
      <c r="CJ181">
        <f>A181*1</f>
        <v>1423</v>
      </c>
      <c r="CK181" s="2" t="s">
        <v>484</v>
      </c>
      <c r="CL181" t="s">
        <v>1039</v>
      </c>
    </row>
    <row r="182" spans="1:89" ht="12.75">
      <c r="A182" s="18">
        <v>1423</v>
      </c>
      <c r="B182" s="14" t="s">
        <v>1077</v>
      </c>
      <c r="C182" s="14" t="s">
        <v>559</v>
      </c>
      <c r="D182" s="14" t="s">
        <v>260</v>
      </c>
      <c r="E182" s="14" t="s">
        <v>269</v>
      </c>
      <c r="F182" s="33" t="s">
        <v>191</v>
      </c>
      <c r="G182" s="2"/>
      <c r="H182" s="2" t="s">
        <v>428</v>
      </c>
      <c r="I182" s="2" t="s">
        <v>513</v>
      </c>
      <c r="J182" s="14" t="s">
        <v>326</v>
      </c>
      <c r="K182" s="2" t="s">
        <v>438</v>
      </c>
      <c r="L182" s="14" t="s">
        <v>408</v>
      </c>
      <c r="M182" s="14" t="s">
        <v>1067</v>
      </c>
      <c r="N182" s="2" t="s">
        <v>1494</v>
      </c>
      <c r="O182" s="10">
        <v>5.5</v>
      </c>
      <c r="U182" s="45">
        <f>O182*V182</f>
        <v>330</v>
      </c>
      <c r="V182" s="45">
        <f>12*X182</f>
        <v>60</v>
      </c>
      <c r="X182" s="6">
        <v>5</v>
      </c>
      <c r="AB182" s="45"/>
      <c r="AF182" s="23">
        <f>O182*X182</f>
        <v>27.5</v>
      </c>
      <c r="AG182">
        <v>5</v>
      </c>
      <c r="AH182">
        <v>0</v>
      </c>
      <c r="AI182">
        <v>0</v>
      </c>
      <c r="AJ182" s="23">
        <f>X182*1</f>
        <v>5</v>
      </c>
      <c r="AK182" s="23"/>
      <c r="BG182" s="7"/>
      <c r="BP182" s="34"/>
      <c r="BS182" s="21"/>
      <c r="BW182" s="20">
        <f>U182+(BO182*12*O182)+BT182</f>
        <v>330</v>
      </c>
      <c r="BX182" s="20">
        <f>BW182/O182</f>
        <v>60</v>
      </c>
      <c r="CJ182">
        <f>A182*1</f>
        <v>1423</v>
      </c>
      <c r="CK182" s="2" t="s">
        <v>438</v>
      </c>
    </row>
    <row r="183" spans="1:89" ht="12.75">
      <c r="A183" s="18">
        <v>1423</v>
      </c>
      <c r="B183" s="14" t="s">
        <v>1077</v>
      </c>
      <c r="C183" s="14" t="s">
        <v>559</v>
      </c>
      <c r="D183" s="14" t="s">
        <v>260</v>
      </c>
      <c r="E183" s="14" t="s">
        <v>269</v>
      </c>
      <c r="F183" s="33" t="s">
        <v>192</v>
      </c>
      <c r="G183" s="2"/>
      <c r="H183" s="2" t="s">
        <v>428</v>
      </c>
      <c r="I183" s="2" t="s">
        <v>780</v>
      </c>
      <c r="J183" s="14" t="s">
        <v>326</v>
      </c>
      <c r="K183" s="2" t="s">
        <v>483</v>
      </c>
      <c r="L183" s="14" t="s">
        <v>408</v>
      </c>
      <c r="M183" s="14" t="s">
        <v>944</v>
      </c>
      <c r="N183" s="2" t="s">
        <v>567</v>
      </c>
      <c r="O183" s="10">
        <v>3</v>
      </c>
      <c r="U183" s="45">
        <f>O183*V183</f>
        <v>180</v>
      </c>
      <c r="V183" s="45">
        <f>12*X183</f>
        <v>60</v>
      </c>
      <c r="X183" s="6">
        <v>5</v>
      </c>
      <c r="AB183" s="45"/>
      <c r="AF183" s="23">
        <f>O183*X183</f>
        <v>15</v>
      </c>
      <c r="AG183">
        <v>5</v>
      </c>
      <c r="AH183">
        <v>0</v>
      </c>
      <c r="AI183">
        <v>0</v>
      </c>
      <c r="AJ183" s="23">
        <f>X183*1</f>
        <v>5</v>
      </c>
      <c r="AK183" s="23"/>
      <c r="AX183" s="23">
        <v>5</v>
      </c>
      <c r="BG183" s="7"/>
      <c r="BP183" s="34"/>
      <c r="BS183" s="21"/>
      <c r="BW183" s="20">
        <f>U183+(BO183*12*O183)+BT183</f>
        <v>180</v>
      </c>
      <c r="BX183" s="20">
        <f>BW183/O183</f>
        <v>60</v>
      </c>
      <c r="CJ183">
        <f>A183*1</f>
        <v>1423</v>
      </c>
      <c r="CK183" s="2" t="s">
        <v>483</v>
      </c>
    </row>
    <row r="184" spans="1:89" ht="12.75">
      <c r="A184" s="18"/>
      <c r="E184" s="14"/>
      <c r="F184" s="33"/>
      <c r="G184" s="2"/>
      <c r="K184" s="2"/>
      <c r="U184" s="45"/>
      <c r="V184" s="45"/>
      <c r="X184" s="6"/>
      <c r="AB184" s="45"/>
      <c r="AF184" s="23"/>
      <c r="AK184" s="23"/>
      <c r="BP184" s="34"/>
      <c r="BS184" s="21"/>
      <c r="CK184" s="2"/>
    </row>
    <row r="185" spans="1:90" ht="12.75">
      <c r="A185" s="18">
        <v>1424</v>
      </c>
      <c r="B185" s="14" t="s">
        <v>952</v>
      </c>
      <c r="C185" s="14" t="s">
        <v>558</v>
      </c>
      <c r="D185" s="14" t="s">
        <v>260</v>
      </c>
      <c r="E185" s="14" t="s">
        <v>270</v>
      </c>
      <c r="F185" s="33" t="s">
        <v>193</v>
      </c>
      <c r="G185" s="2">
        <v>1</v>
      </c>
      <c r="H185" s="2" t="s">
        <v>428</v>
      </c>
      <c r="I185" s="2" t="s">
        <v>701</v>
      </c>
      <c r="J185" s="14" t="s">
        <v>326</v>
      </c>
      <c r="K185" s="2" t="s">
        <v>449</v>
      </c>
      <c r="L185" s="14" t="s">
        <v>408</v>
      </c>
      <c r="M185" s="14" t="s">
        <v>944</v>
      </c>
      <c r="N185" s="2" t="s">
        <v>535</v>
      </c>
      <c r="O185" s="10">
        <v>11</v>
      </c>
      <c r="U185" s="45">
        <f aca="true" t="shared" si="71" ref="U185:U191">O185*V185</f>
        <v>924</v>
      </c>
      <c r="V185" s="45">
        <f aca="true" t="shared" si="72" ref="V185:V191">12*X185</f>
        <v>84</v>
      </c>
      <c r="W185" s="23">
        <f>(20*V185)/33</f>
        <v>50.90909090909091</v>
      </c>
      <c r="X185" s="6">
        <v>7</v>
      </c>
      <c r="AB185" s="45"/>
      <c r="AF185" s="23">
        <f>O185*X185</f>
        <v>77</v>
      </c>
      <c r="AG185">
        <v>7</v>
      </c>
      <c r="AH185">
        <v>0</v>
      </c>
      <c r="AI185">
        <v>0</v>
      </c>
      <c r="AJ185" s="23">
        <f aca="true" t="shared" si="73" ref="AJ185:AJ191">X185*1</f>
        <v>7</v>
      </c>
      <c r="AK185" s="23">
        <f>W185/12</f>
        <v>4.242424242424242</v>
      </c>
      <c r="AX185" s="23">
        <v>7</v>
      </c>
      <c r="BS185" s="21"/>
      <c r="BW185" s="20">
        <f aca="true" t="shared" si="74" ref="BW185:BW191">U185+(BO185*12*O185)+BT185</f>
        <v>924</v>
      </c>
      <c r="BX185" s="20">
        <f aca="true" t="shared" si="75" ref="BX185:BX191">BW185/O185</f>
        <v>84</v>
      </c>
      <c r="CJ185">
        <f aca="true" t="shared" si="76" ref="CJ185:CJ191">A185*1</f>
        <v>1424</v>
      </c>
      <c r="CK185" s="2" t="s">
        <v>449</v>
      </c>
      <c r="CL185" t="s">
        <v>1031</v>
      </c>
    </row>
    <row r="186" spans="1:90" ht="12.75">
      <c r="A186" s="18">
        <v>1424</v>
      </c>
      <c r="B186" s="14" t="s">
        <v>952</v>
      </c>
      <c r="C186" s="14" t="s">
        <v>558</v>
      </c>
      <c r="D186" s="14" t="s">
        <v>260</v>
      </c>
      <c r="E186" s="14" t="s">
        <v>270</v>
      </c>
      <c r="F186" s="33" t="s">
        <v>194</v>
      </c>
      <c r="G186" s="2">
        <v>1</v>
      </c>
      <c r="H186" s="2" t="s">
        <v>428</v>
      </c>
      <c r="I186" s="2" t="s">
        <v>702</v>
      </c>
      <c r="J186" s="14" t="s">
        <v>326</v>
      </c>
      <c r="K186" s="2" t="s">
        <v>458</v>
      </c>
      <c r="L186" s="14" t="s">
        <v>410</v>
      </c>
      <c r="M186" s="14" t="s">
        <v>745</v>
      </c>
      <c r="N186" s="2" t="s">
        <v>534</v>
      </c>
      <c r="O186" s="10">
        <v>11</v>
      </c>
      <c r="U186" s="45">
        <f t="shared" si="71"/>
        <v>924</v>
      </c>
      <c r="V186" s="45">
        <f t="shared" si="72"/>
        <v>84</v>
      </c>
      <c r="W186" s="23">
        <f>(20*V186)/33</f>
        <v>50.90909090909091</v>
      </c>
      <c r="X186" s="6">
        <v>7</v>
      </c>
      <c r="AB186" s="45"/>
      <c r="AF186" s="23">
        <f>O186*X186</f>
        <v>77</v>
      </c>
      <c r="AG186">
        <v>7</v>
      </c>
      <c r="AH186">
        <v>0</v>
      </c>
      <c r="AI186">
        <v>0</v>
      </c>
      <c r="AJ186" s="23">
        <f t="shared" si="73"/>
        <v>7</v>
      </c>
      <c r="AK186" s="23">
        <f>W186/12</f>
        <v>4.242424242424242</v>
      </c>
      <c r="AY186" s="7"/>
      <c r="AZ186" s="19"/>
      <c r="BP186" s="34"/>
      <c r="BS186" s="21"/>
      <c r="BW186" s="20">
        <f t="shared" si="74"/>
        <v>924</v>
      </c>
      <c r="BX186" s="20">
        <f t="shared" si="75"/>
        <v>84</v>
      </c>
      <c r="CJ186">
        <f t="shared" si="76"/>
        <v>1424</v>
      </c>
      <c r="CK186" s="2" t="s">
        <v>458</v>
      </c>
      <c r="CL186" t="s">
        <v>1031</v>
      </c>
    </row>
    <row r="187" spans="1:90" ht="12.75">
      <c r="A187" s="18">
        <v>1424</v>
      </c>
      <c r="B187" s="14" t="s">
        <v>952</v>
      </c>
      <c r="C187" s="14" t="s">
        <v>558</v>
      </c>
      <c r="D187" s="14" t="s">
        <v>260</v>
      </c>
      <c r="E187" s="14" t="s">
        <v>270</v>
      </c>
      <c r="F187" s="33" t="s">
        <v>195</v>
      </c>
      <c r="G187" s="2">
        <v>1</v>
      </c>
      <c r="H187" s="2" t="s">
        <v>428</v>
      </c>
      <c r="I187" s="2" t="s">
        <v>729</v>
      </c>
      <c r="J187" s="14" t="s">
        <v>326</v>
      </c>
      <c r="K187" s="2" t="s">
        <v>469</v>
      </c>
      <c r="L187" s="14" t="s">
        <v>410</v>
      </c>
      <c r="M187" s="14" t="s">
        <v>1460</v>
      </c>
      <c r="N187" s="2" t="s">
        <v>1499</v>
      </c>
      <c r="O187" s="10">
        <v>11</v>
      </c>
      <c r="U187" s="45">
        <f t="shared" si="71"/>
        <v>554.4000000000001</v>
      </c>
      <c r="V187" s="45">
        <f t="shared" si="72"/>
        <v>50.400000000000006</v>
      </c>
      <c r="W187" s="23">
        <f>(20*V187)/36</f>
        <v>28.000000000000004</v>
      </c>
      <c r="X187" s="6">
        <f>4+4/20</f>
        <v>4.2</v>
      </c>
      <c r="AB187" s="45"/>
      <c r="AF187" s="23">
        <f>O187*X187</f>
        <v>46.2</v>
      </c>
      <c r="AG187">
        <v>4</v>
      </c>
      <c r="AH187">
        <v>4</v>
      </c>
      <c r="AI187">
        <v>0</v>
      </c>
      <c r="AJ187" s="23">
        <f t="shared" si="73"/>
        <v>4.2</v>
      </c>
      <c r="AK187" s="23">
        <f>W187/12</f>
        <v>2.3333333333333335</v>
      </c>
      <c r="AY187" s="19"/>
      <c r="AZ187" s="7"/>
      <c r="BP187" s="34"/>
      <c r="BS187" s="21"/>
      <c r="BW187" s="20">
        <f t="shared" si="74"/>
        <v>554.4000000000001</v>
      </c>
      <c r="BX187" s="20">
        <f t="shared" si="75"/>
        <v>50.400000000000006</v>
      </c>
      <c r="CJ187">
        <f t="shared" si="76"/>
        <v>1424</v>
      </c>
      <c r="CK187" s="2" t="s">
        <v>469</v>
      </c>
      <c r="CL187" t="s">
        <v>1035</v>
      </c>
    </row>
    <row r="188" spans="1:90" ht="12.75">
      <c r="A188" s="18">
        <v>1424</v>
      </c>
      <c r="B188" s="14" t="s">
        <v>952</v>
      </c>
      <c r="C188" s="14" t="s">
        <v>558</v>
      </c>
      <c r="D188" s="14" t="s">
        <v>260</v>
      </c>
      <c r="E188" s="14" t="s">
        <v>270</v>
      </c>
      <c r="F188" s="33" t="s">
        <v>197</v>
      </c>
      <c r="G188" s="2">
        <v>1</v>
      </c>
      <c r="H188" s="2" t="s">
        <v>3</v>
      </c>
      <c r="I188" s="2" t="s">
        <v>1451</v>
      </c>
      <c r="J188" s="14" t="s">
        <v>326</v>
      </c>
      <c r="K188" s="2" t="s">
        <v>1443</v>
      </c>
      <c r="L188" s="14" t="s">
        <v>1422</v>
      </c>
      <c r="M188" s="14" t="s">
        <v>1439</v>
      </c>
      <c r="N188" s="2" t="s">
        <v>567</v>
      </c>
      <c r="O188" s="10">
        <v>1</v>
      </c>
      <c r="U188" s="45">
        <f t="shared" si="71"/>
        <v>64.80000000000001</v>
      </c>
      <c r="V188" s="45">
        <f t="shared" si="72"/>
        <v>64.80000000000001</v>
      </c>
      <c r="X188" s="6">
        <f>5+8/20</f>
        <v>5.4</v>
      </c>
      <c r="AB188" s="45"/>
      <c r="AC188">
        <v>5</v>
      </c>
      <c r="AD188">
        <v>8</v>
      </c>
      <c r="AE188">
        <v>0</v>
      </c>
      <c r="AF188" s="23">
        <f>AC188+AD188/20+AE188/240</f>
        <v>5.4</v>
      </c>
      <c r="AG188">
        <v>5</v>
      </c>
      <c r="AH188">
        <v>8</v>
      </c>
      <c r="AI188">
        <v>0</v>
      </c>
      <c r="AJ188" s="23">
        <f t="shared" si="73"/>
        <v>5.4</v>
      </c>
      <c r="AK188" s="23"/>
      <c r="AX188" s="23">
        <v>5.4</v>
      </c>
      <c r="BG188" s="7"/>
      <c r="BP188" s="34"/>
      <c r="BS188" s="21"/>
      <c r="BW188" s="20">
        <f t="shared" si="74"/>
        <v>64.80000000000001</v>
      </c>
      <c r="BX188" s="20">
        <f t="shared" si="75"/>
        <v>64.80000000000001</v>
      </c>
      <c r="CJ188">
        <f t="shared" si="76"/>
        <v>1424</v>
      </c>
      <c r="CK188" s="2" t="s">
        <v>1443</v>
      </c>
      <c r="CL188" t="s">
        <v>1040</v>
      </c>
    </row>
    <row r="189" spans="1:89" ht="12.75">
      <c r="A189" s="18">
        <v>1424</v>
      </c>
      <c r="B189" s="14" t="s">
        <v>952</v>
      </c>
      <c r="C189" s="14" t="s">
        <v>558</v>
      </c>
      <c r="D189" s="14" t="s">
        <v>260</v>
      </c>
      <c r="E189" s="14" t="s">
        <v>270</v>
      </c>
      <c r="F189" s="33" t="s">
        <v>198</v>
      </c>
      <c r="G189" s="2">
        <v>1</v>
      </c>
      <c r="H189" s="2" t="s">
        <v>428</v>
      </c>
      <c r="I189" s="2" t="s">
        <v>511</v>
      </c>
      <c r="J189" s="14" t="s">
        <v>326</v>
      </c>
      <c r="K189" s="2" t="s">
        <v>437</v>
      </c>
      <c r="L189" s="14" t="s">
        <v>410</v>
      </c>
      <c r="M189" s="14" t="s">
        <v>347</v>
      </c>
      <c r="N189" s="2" t="s">
        <v>1311</v>
      </c>
      <c r="O189" s="10">
        <v>1</v>
      </c>
      <c r="U189" s="45">
        <f t="shared" si="71"/>
        <v>42</v>
      </c>
      <c r="V189" s="45">
        <f t="shared" si="72"/>
        <v>42</v>
      </c>
      <c r="X189" s="6">
        <f>3+10/20</f>
        <v>3.5</v>
      </c>
      <c r="AB189" s="45"/>
      <c r="AC189">
        <v>3</v>
      </c>
      <c r="AD189">
        <v>10</v>
      </c>
      <c r="AE189">
        <v>0</v>
      </c>
      <c r="AF189" s="23">
        <f>AC189+AD189/20+AE189/240</f>
        <v>3.5</v>
      </c>
      <c r="AG189">
        <v>3</v>
      </c>
      <c r="AH189">
        <v>10</v>
      </c>
      <c r="AI189">
        <v>0</v>
      </c>
      <c r="AJ189" s="23">
        <f t="shared" si="73"/>
        <v>3.5</v>
      </c>
      <c r="AK189" s="23"/>
      <c r="BB189" s="23">
        <v>3.5</v>
      </c>
      <c r="BP189" s="34"/>
      <c r="BS189" s="21"/>
      <c r="BW189" s="20">
        <f t="shared" si="74"/>
        <v>42</v>
      </c>
      <c r="BX189" s="20">
        <f t="shared" si="75"/>
        <v>42</v>
      </c>
      <c r="CJ189">
        <f t="shared" si="76"/>
        <v>1424</v>
      </c>
      <c r="CK189" s="2" t="s">
        <v>437</v>
      </c>
    </row>
    <row r="190" spans="1:89" ht="12.75">
      <c r="A190" s="18">
        <v>1424</v>
      </c>
      <c r="B190" s="14" t="s">
        <v>952</v>
      </c>
      <c r="C190" s="14" t="s">
        <v>558</v>
      </c>
      <c r="D190" s="14" t="s">
        <v>260</v>
      </c>
      <c r="E190" s="14" t="s">
        <v>270</v>
      </c>
      <c r="F190" s="33" t="s">
        <v>199</v>
      </c>
      <c r="G190" s="2">
        <v>1</v>
      </c>
      <c r="H190" s="2" t="s">
        <v>428</v>
      </c>
      <c r="I190" s="2" t="s">
        <v>511</v>
      </c>
      <c r="J190" s="14" t="s">
        <v>326</v>
      </c>
      <c r="K190" s="2" t="s">
        <v>437</v>
      </c>
      <c r="L190" s="14" t="s">
        <v>410</v>
      </c>
      <c r="M190" s="14" t="s">
        <v>347</v>
      </c>
      <c r="N190" s="2" t="s">
        <v>1311</v>
      </c>
      <c r="O190" s="10">
        <v>1</v>
      </c>
      <c r="U190" s="45">
        <f t="shared" si="71"/>
        <v>36</v>
      </c>
      <c r="V190" s="45">
        <f t="shared" si="72"/>
        <v>36</v>
      </c>
      <c r="X190" s="6">
        <v>3</v>
      </c>
      <c r="AB190" s="45"/>
      <c r="AC190">
        <v>3</v>
      </c>
      <c r="AD190">
        <v>0</v>
      </c>
      <c r="AE190">
        <v>0</v>
      </c>
      <c r="AF190" s="23">
        <f>AC190+AD190/20+AE190/240</f>
        <v>3</v>
      </c>
      <c r="AG190">
        <v>3</v>
      </c>
      <c r="AH190">
        <v>0</v>
      </c>
      <c r="AI190">
        <v>0</v>
      </c>
      <c r="AJ190" s="23">
        <f t="shared" si="73"/>
        <v>3</v>
      </c>
      <c r="AK190" s="23"/>
      <c r="BB190" s="23">
        <v>3</v>
      </c>
      <c r="BG190" s="7"/>
      <c r="BP190" s="34"/>
      <c r="BS190" s="21"/>
      <c r="BW190" s="20">
        <f t="shared" si="74"/>
        <v>36</v>
      </c>
      <c r="BX190" s="20">
        <f t="shared" si="75"/>
        <v>36</v>
      </c>
      <c r="CJ190">
        <f t="shared" si="76"/>
        <v>1424</v>
      </c>
      <c r="CK190" s="2" t="s">
        <v>437</v>
      </c>
    </row>
    <row r="191" spans="1:89" ht="12.75">
      <c r="A191" s="18">
        <v>1424</v>
      </c>
      <c r="B191" s="14" t="s">
        <v>952</v>
      </c>
      <c r="C191" s="14" t="s">
        <v>558</v>
      </c>
      <c r="D191" s="14" t="s">
        <v>260</v>
      </c>
      <c r="E191" s="14" t="s">
        <v>270</v>
      </c>
      <c r="F191" s="33" t="s">
        <v>200</v>
      </c>
      <c r="G191" s="2">
        <v>1</v>
      </c>
      <c r="H191" s="2" t="s">
        <v>428</v>
      </c>
      <c r="I191" s="2" t="s">
        <v>526</v>
      </c>
      <c r="J191" s="14" t="s">
        <v>326</v>
      </c>
      <c r="K191" s="2" t="s">
        <v>477</v>
      </c>
      <c r="L191" s="14" t="s">
        <v>410</v>
      </c>
      <c r="M191" s="14" t="s">
        <v>755</v>
      </c>
      <c r="N191" s="2" t="s">
        <v>634</v>
      </c>
      <c r="O191" s="10">
        <v>1</v>
      </c>
      <c r="U191" s="45">
        <f t="shared" si="71"/>
        <v>42.599999999999994</v>
      </c>
      <c r="V191" s="45">
        <f t="shared" si="72"/>
        <v>42.599999999999994</v>
      </c>
      <c r="X191" s="6">
        <f>3+11/20</f>
        <v>3.55</v>
      </c>
      <c r="AB191" s="45"/>
      <c r="AC191">
        <v>3</v>
      </c>
      <c r="AD191">
        <v>11</v>
      </c>
      <c r="AE191">
        <v>0</v>
      </c>
      <c r="AF191" s="23">
        <f>AC191+AD191/20+AE191/240</f>
        <v>3.55</v>
      </c>
      <c r="AG191">
        <v>3</v>
      </c>
      <c r="AH191">
        <v>11</v>
      </c>
      <c r="AI191">
        <v>0</v>
      </c>
      <c r="AJ191" s="23">
        <f t="shared" si="73"/>
        <v>3.55</v>
      </c>
      <c r="AK191" s="23"/>
      <c r="AX191" s="23">
        <v>3.55</v>
      </c>
      <c r="BG191" s="7"/>
      <c r="BP191" s="34"/>
      <c r="BS191" s="21"/>
      <c r="BW191" s="20">
        <f t="shared" si="74"/>
        <v>42.599999999999994</v>
      </c>
      <c r="BX191" s="20">
        <f t="shared" si="75"/>
        <v>42.599999999999994</v>
      </c>
      <c r="CJ191">
        <f t="shared" si="76"/>
        <v>1424</v>
      </c>
      <c r="CK191" s="2" t="s">
        <v>477</v>
      </c>
    </row>
    <row r="192" spans="1:89" ht="12.75">
      <c r="A192" s="1"/>
      <c r="K192" s="2"/>
      <c r="U192" s="45"/>
      <c r="V192" s="45"/>
      <c r="X192" s="6"/>
      <c r="AB192" s="45"/>
      <c r="AJ192" s="23"/>
      <c r="AK192" s="23"/>
      <c r="BP192" s="34"/>
      <c r="BS192" s="21"/>
      <c r="CK192" s="2"/>
    </row>
    <row r="193" spans="1:89" ht="12.75">
      <c r="A193" s="18">
        <v>1424</v>
      </c>
      <c r="B193" s="14" t="s">
        <v>952</v>
      </c>
      <c r="C193" s="14" t="s">
        <v>558</v>
      </c>
      <c r="D193" s="14" t="s">
        <v>260</v>
      </c>
      <c r="E193" s="14" t="s">
        <v>270</v>
      </c>
      <c r="F193" s="33" t="s">
        <v>201</v>
      </c>
      <c r="G193" s="2">
        <v>2</v>
      </c>
      <c r="H193" s="2" t="s">
        <v>428</v>
      </c>
      <c r="I193" t="s">
        <v>375</v>
      </c>
      <c r="J193" s="14" t="s">
        <v>326</v>
      </c>
      <c r="K193" s="2" t="s">
        <v>432</v>
      </c>
      <c r="L193" s="14" t="s">
        <v>410</v>
      </c>
      <c r="M193" s="14" t="s">
        <v>327</v>
      </c>
      <c r="N193" s="2" t="s">
        <v>1365</v>
      </c>
      <c r="O193" s="10">
        <v>1</v>
      </c>
      <c r="U193" s="45">
        <f aca="true" t="shared" si="77" ref="U193:U200">O193*V193</f>
        <v>43.2</v>
      </c>
      <c r="V193" s="45">
        <f aca="true" t="shared" si="78" ref="V193:V200">12*X193</f>
        <v>43.2</v>
      </c>
      <c r="X193" s="6">
        <f>3+12/20</f>
        <v>3.6</v>
      </c>
      <c r="AB193" s="45"/>
      <c r="AC193">
        <v>3</v>
      </c>
      <c r="AD193">
        <v>12</v>
      </c>
      <c r="AE193">
        <v>0</v>
      </c>
      <c r="AF193" s="23">
        <f aca="true" t="shared" si="79" ref="AF193:AF198">AC193+AD193/20+AE193/240</f>
        <v>3.6</v>
      </c>
      <c r="AG193">
        <v>3</v>
      </c>
      <c r="AH193">
        <v>12</v>
      </c>
      <c r="AI193">
        <v>0</v>
      </c>
      <c r="AJ193" s="23">
        <f aca="true" t="shared" si="80" ref="AJ193:AJ200">X193*1</f>
        <v>3.6</v>
      </c>
      <c r="AK193" s="23"/>
      <c r="AV193" s="7"/>
      <c r="AW193" s="7"/>
      <c r="AX193" s="23"/>
      <c r="BD193" s="7"/>
      <c r="BE193" s="23">
        <v>3.6</v>
      </c>
      <c r="BF193" s="19"/>
      <c r="BP193" s="34"/>
      <c r="BS193" s="21"/>
      <c r="BW193" s="20">
        <f aca="true" t="shared" si="81" ref="BW193:BW200">U193+(BO193*12*O193)+BT193</f>
        <v>43.2</v>
      </c>
      <c r="BX193" s="20">
        <f aca="true" t="shared" si="82" ref="BX193:BX200">BW193/O193</f>
        <v>43.2</v>
      </c>
      <c r="CJ193">
        <f aca="true" t="shared" si="83" ref="CJ193:CJ200">A193*1</f>
        <v>1424</v>
      </c>
      <c r="CK193" s="2" t="s">
        <v>432</v>
      </c>
    </row>
    <row r="194" spans="1:89" ht="12.75">
      <c r="A194" s="18">
        <v>1424</v>
      </c>
      <c r="B194" s="14" t="s">
        <v>952</v>
      </c>
      <c r="C194" s="14" t="s">
        <v>558</v>
      </c>
      <c r="D194" s="14" t="s">
        <v>260</v>
      </c>
      <c r="E194" s="14" t="s">
        <v>270</v>
      </c>
      <c r="F194" s="33" t="s">
        <v>202</v>
      </c>
      <c r="G194" s="2">
        <v>2</v>
      </c>
      <c r="H194" s="2" t="s">
        <v>428</v>
      </c>
      <c r="I194" t="s">
        <v>391</v>
      </c>
      <c r="J194" s="14" t="s">
        <v>326</v>
      </c>
      <c r="K194" s="2" t="s">
        <v>432</v>
      </c>
      <c r="L194" s="14" t="s">
        <v>410</v>
      </c>
      <c r="M194" s="14" t="s">
        <v>327</v>
      </c>
      <c r="N194" s="2" t="s">
        <v>1478</v>
      </c>
      <c r="O194" s="10">
        <v>1</v>
      </c>
      <c r="U194" s="45">
        <f t="shared" si="77"/>
        <v>42.599999999999994</v>
      </c>
      <c r="V194" s="45">
        <f t="shared" si="78"/>
        <v>42.599999999999994</v>
      </c>
      <c r="X194" s="6">
        <f>3+11/20</f>
        <v>3.55</v>
      </c>
      <c r="AB194" s="45"/>
      <c r="AC194">
        <v>3</v>
      </c>
      <c r="AD194">
        <v>11</v>
      </c>
      <c r="AE194">
        <v>0</v>
      </c>
      <c r="AF194" s="23">
        <f t="shared" si="79"/>
        <v>3.55</v>
      </c>
      <c r="AG194">
        <v>3</v>
      </c>
      <c r="AH194">
        <v>11</v>
      </c>
      <c r="AI194">
        <v>0</v>
      </c>
      <c r="AJ194" s="23">
        <f t="shared" si="80"/>
        <v>3.55</v>
      </c>
      <c r="AK194" s="23"/>
      <c r="AV194" s="7"/>
      <c r="AW194" s="7"/>
      <c r="BB194" s="23"/>
      <c r="BD194" s="7"/>
      <c r="BE194" s="19"/>
      <c r="BF194" s="19"/>
      <c r="BG194" s="23">
        <v>3.55</v>
      </c>
      <c r="BP194" s="34"/>
      <c r="BS194" s="21"/>
      <c r="BW194" s="20">
        <f t="shared" si="81"/>
        <v>42.599999999999994</v>
      </c>
      <c r="BX194" s="20">
        <f t="shared" si="82"/>
        <v>42.599999999999994</v>
      </c>
      <c r="CJ194">
        <f t="shared" si="83"/>
        <v>1424</v>
      </c>
      <c r="CK194" s="2" t="s">
        <v>432</v>
      </c>
    </row>
    <row r="195" spans="1:89" ht="12.75">
      <c r="A195" s="18">
        <v>1424</v>
      </c>
      <c r="B195" s="14" t="s">
        <v>952</v>
      </c>
      <c r="C195" s="14" t="s">
        <v>558</v>
      </c>
      <c r="D195" s="14" t="s">
        <v>260</v>
      </c>
      <c r="E195" s="14" t="s">
        <v>270</v>
      </c>
      <c r="F195" s="33" t="s">
        <v>203</v>
      </c>
      <c r="G195" s="2">
        <v>2</v>
      </c>
      <c r="H195" s="2" t="s">
        <v>591</v>
      </c>
      <c r="I195" t="s">
        <v>386</v>
      </c>
      <c r="J195" s="14" t="s">
        <v>326</v>
      </c>
      <c r="K195" s="2" t="s">
        <v>593</v>
      </c>
      <c r="L195" s="14" t="s">
        <v>585</v>
      </c>
      <c r="M195" s="14" t="s">
        <v>327</v>
      </c>
      <c r="N195" s="2" t="s">
        <v>765</v>
      </c>
      <c r="O195" s="10">
        <v>1</v>
      </c>
      <c r="U195" s="45">
        <f t="shared" si="77"/>
        <v>22.200000000000003</v>
      </c>
      <c r="V195" s="45">
        <f t="shared" si="78"/>
        <v>22.200000000000003</v>
      </c>
      <c r="X195" s="6">
        <f>1+17/20</f>
        <v>1.85</v>
      </c>
      <c r="AB195" s="45"/>
      <c r="AC195">
        <v>1</v>
      </c>
      <c r="AD195">
        <v>17</v>
      </c>
      <c r="AE195">
        <v>0</v>
      </c>
      <c r="AF195" s="23">
        <f t="shared" si="79"/>
        <v>1.85</v>
      </c>
      <c r="AG195">
        <v>1</v>
      </c>
      <c r="AH195">
        <v>17</v>
      </c>
      <c r="AI195">
        <v>0</v>
      </c>
      <c r="AJ195" s="23">
        <f t="shared" si="80"/>
        <v>1.85</v>
      </c>
      <c r="AK195" s="23"/>
      <c r="AV195" s="7"/>
      <c r="AW195" s="7"/>
      <c r="BD195" s="7"/>
      <c r="BE195" s="19"/>
      <c r="BF195" s="19"/>
      <c r="BG195" s="23">
        <v>1.85</v>
      </c>
      <c r="BP195" s="34"/>
      <c r="BS195" s="21"/>
      <c r="BW195" s="20">
        <f t="shared" si="81"/>
        <v>22.200000000000003</v>
      </c>
      <c r="BX195" s="20">
        <f t="shared" si="82"/>
        <v>22.200000000000003</v>
      </c>
      <c r="CJ195">
        <f t="shared" si="83"/>
        <v>1424</v>
      </c>
      <c r="CK195" s="2" t="s">
        <v>593</v>
      </c>
    </row>
    <row r="196" spans="1:89" ht="12.75">
      <c r="A196" s="18">
        <v>1424</v>
      </c>
      <c r="B196" s="14" t="s">
        <v>952</v>
      </c>
      <c r="C196" s="14" t="s">
        <v>558</v>
      </c>
      <c r="D196" s="14" t="s">
        <v>260</v>
      </c>
      <c r="E196" s="14" t="s">
        <v>270</v>
      </c>
      <c r="F196" s="33" t="s">
        <v>204</v>
      </c>
      <c r="G196" s="2">
        <v>2</v>
      </c>
      <c r="H196" s="2" t="s">
        <v>428</v>
      </c>
      <c r="I196" t="s">
        <v>377</v>
      </c>
      <c r="J196" s="14" t="s">
        <v>326</v>
      </c>
      <c r="K196" s="2" t="s">
        <v>435</v>
      </c>
      <c r="L196" s="14" t="s">
        <v>408</v>
      </c>
      <c r="M196" s="14" t="s">
        <v>334</v>
      </c>
      <c r="N196" s="2" t="s">
        <v>1467</v>
      </c>
      <c r="O196" s="10">
        <v>1</v>
      </c>
      <c r="U196" s="45">
        <f t="shared" si="77"/>
        <v>20.4</v>
      </c>
      <c r="V196" s="45">
        <f t="shared" si="78"/>
        <v>20.4</v>
      </c>
      <c r="X196" s="6">
        <f>1+14/20</f>
        <v>1.7</v>
      </c>
      <c r="AB196" s="45"/>
      <c r="AC196">
        <v>1</v>
      </c>
      <c r="AD196">
        <v>14</v>
      </c>
      <c r="AE196">
        <v>0</v>
      </c>
      <c r="AF196" s="23">
        <f t="shared" si="79"/>
        <v>1.7</v>
      </c>
      <c r="AG196">
        <v>1</v>
      </c>
      <c r="AH196">
        <v>14</v>
      </c>
      <c r="AI196">
        <v>0</v>
      </c>
      <c r="AJ196" s="23">
        <f t="shared" si="80"/>
        <v>1.7</v>
      </c>
      <c r="AK196" s="23"/>
      <c r="AV196" s="7"/>
      <c r="AW196" s="7"/>
      <c r="BD196" s="7"/>
      <c r="BE196" s="19"/>
      <c r="BF196" s="19"/>
      <c r="BG196" s="23">
        <v>1.7</v>
      </c>
      <c r="BP196" s="34"/>
      <c r="BS196" s="21"/>
      <c r="BW196" s="20">
        <f t="shared" si="81"/>
        <v>20.4</v>
      </c>
      <c r="BX196" s="20">
        <f t="shared" si="82"/>
        <v>20.4</v>
      </c>
      <c r="CJ196">
        <f t="shared" si="83"/>
        <v>1424</v>
      </c>
      <c r="CK196" s="2" t="s">
        <v>435</v>
      </c>
    </row>
    <row r="197" spans="1:89" ht="12.75">
      <c r="A197" s="18">
        <v>1424</v>
      </c>
      <c r="B197" s="14" t="s">
        <v>952</v>
      </c>
      <c r="C197" s="14" t="s">
        <v>558</v>
      </c>
      <c r="D197" s="14" t="s">
        <v>260</v>
      </c>
      <c r="E197" s="14" t="s">
        <v>270</v>
      </c>
      <c r="F197" s="33" t="s">
        <v>205</v>
      </c>
      <c r="G197" s="2">
        <v>2</v>
      </c>
      <c r="H197" s="2" t="s">
        <v>428</v>
      </c>
      <c r="I197" t="s">
        <v>375</v>
      </c>
      <c r="J197" s="14" t="s">
        <v>326</v>
      </c>
      <c r="K197" s="2" t="s">
        <v>432</v>
      </c>
      <c r="L197" s="14" t="s">
        <v>410</v>
      </c>
      <c r="M197" s="14" t="s">
        <v>327</v>
      </c>
      <c r="N197" s="2" t="s">
        <v>1468</v>
      </c>
      <c r="O197" s="10">
        <v>1</v>
      </c>
      <c r="U197" s="45">
        <f t="shared" si="77"/>
        <v>20.4</v>
      </c>
      <c r="V197" s="45">
        <f t="shared" si="78"/>
        <v>20.4</v>
      </c>
      <c r="X197" s="6">
        <f>1+14/20</f>
        <v>1.7</v>
      </c>
      <c r="AB197" s="45"/>
      <c r="AC197">
        <v>1</v>
      </c>
      <c r="AD197">
        <v>14</v>
      </c>
      <c r="AE197">
        <v>0</v>
      </c>
      <c r="AF197" s="23">
        <f t="shared" si="79"/>
        <v>1.7</v>
      </c>
      <c r="AG197">
        <v>1</v>
      </c>
      <c r="AH197">
        <v>14</v>
      </c>
      <c r="AI197">
        <v>0</v>
      </c>
      <c r="AJ197" s="23">
        <f t="shared" si="80"/>
        <v>1.7</v>
      </c>
      <c r="AK197" s="23"/>
      <c r="AV197" s="7"/>
      <c r="AW197" s="7"/>
      <c r="BD197" s="7"/>
      <c r="BE197" s="19"/>
      <c r="BF197" s="19"/>
      <c r="BG197" s="23">
        <v>1.7</v>
      </c>
      <c r="BP197" s="34"/>
      <c r="BS197" s="21"/>
      <c r="BW197" s="20">
        <f t="shared" si="81"/>
        <v>20.4</v>
      </c>
      <c r="BX197" s="20">
        <f t="shared" si="82"/>
        <v>20.4</v>
      </c>
      <c r="CJ197">
        <f t="shared" si="83"/>
        <v>1424</v>
      </c>
      <c r="CK197" s="2" t="s">
        <v>432</v>
      </c>
    </row>
    <row r="198" spans="1:90" ht="12.75">
      <c r="A198" s="18">
        <v>1424</v>
      </c>
      <c r="B198" s="14" t="s">
        <v>952</v>
      </c>
      <c r="C198" s="14" t="s">
        <v>558</v>
      </c>
      <c r="D198" s="14" t="s">
        <v>260</v>
      </c>
      <c r="E198" s="14" t="s">
        <v>270</v>
      </c>
      <c r="F198" s="33" t="s">
        <v>206</v>
      </c>
      <c r="G198" s="2">
        <v>2</v>
      </c>
      <c r="H198" s="2" t="s">
        <v>502</v>
      </c>
      <c r="I198" t="s">
        <v>507</v>
      </c>
      <c r="J198" s="14" t="s">
        <v>326</v>
      </c>
      <c r="K198" s="2" t="s">
        <v>1201</v>
      </c>
      <c r="L198" s="14" t="s">
        <v>411</v>
      </c>
      <c r="M198" s="14" t="s">
        <v>1177</v>
      </c>
      <c r="N198" s="2" t="s">
        <v>810</v>
      </c>
      <c r="O198" s="10">
        <v>1</v>
      </c>
      <c r="U198" s="45">
        <f t="shared" si="77"/>
        <v>23.099999999999998</v>
      </c>
      <c r="V198" s="45">
        <f t="shared" si="78"/>
        <v>23.099999999999998</v>
      </c>
      <c r="X198" s="6">
        <f>1+18/20+6/240</f>
        <v>1.9249999999999998</v>
      </c>
      <c r="AB198" s="45"/>
      <c r="AC198">
        <v>1</v>
      </c>
      <c r="AD198">
        <v>18</v>
      </c>
      <c r="AE198">
        <v>6</v>
      </c>
      <c r="AF198" s="23">
        <f t="shared" si="79"/>
        <v>1.9249999999999998</v>
      </c>
      <c r="AG198">
        <v>1</v>
      </c>
      <c r="AH198">
        <v>18</v>
      </c>
      <c r="AI198">
        <v>6</v>
      </c>
      <c r="AJ198" s="23">
        <f t="shared" si="80"/>
        <v>1.9249999999999998</v>
      </c>
      <c r="AK198" s="23"/>
      <c r="AU198" s="23"/>
      <c r="AV198" s="7"/>
      <c r="AW198" s="7"/>
      <c r="AY198" s="23"/>
      <c r="BD198" s="7"/>
      <c r="BE198" s="19"/>
      <c r="BF198" s="19"/>
      <c r="BG198" s="23">
        <v>1.925</v>
      </c>
      <c r="BK198" s="23"/>
      <c r="BL198" s="23"/>
      <c r="BO198" s="23"/>
      <c r="BP198" s="34"/>
      <c r="BQ198" s="38"/>
      <c r="BS198" s="21"/>
      <c r="BW198" s="20">
        <f t="shared" si="81"/>
        <v>23.099999999999998</v>
      </c>
      <c r="BX198" s="20">
        <f t="shared" si="82"/>
        <v>23.099999999999998</v>
      </c>
      <c r="CJ198">
        <f t="shared" si="83"/>
        <v>1424</v>
      </c>
      <c r="CK198" s="2" t="s">
        <v>1201</v>
      </c>
      <c r="CL198" t="s">
        <v>1173</v>
      </c>
    </row>
    <row r="199" spans="1:90" ht="12.75">
      <c r="A199" s="18">
        <v>1424</v>
      </c>
      <c r="B199" s="14" t="s">
        <v>952</v>
      </c>
      <c r="C199" s="14" t="s">
        <v>558</v>
      </c>
      <c r="D199" s="14" t="s">
        <v>260</v>
      </c>
      <c r="E199" s="14" t="s">
        <v>270</v>
      </c>
      <c r="F199" s="33" t="s">
        <v>207</v>
      </c>
      <c r="G199" s="2">
        <v>2</v>
      </c>
      <c r="H199" s="2" t="s">
        <v>428</v>
      </c>
      <c r="I199" t="s">
        <v>1234</v>
      </c>
      <c r="J199" s="14" t="s">
        <v>326</v>
      </c>
      <c r="K199" s="2" t="s">
        <v>489</v>
      </c>
      <c r="L199" s="14" t="s">
        <v>410</v>
      </c>
      <c r="M199" s="14" t="s">
        <v>1178</v>
      </c>
      <c r="N199" s="2" t="s">
        <v>1301</v>
      </c>
      <c r="O199" s="10">
        <v>50</v>
      </c>
      <c r="U199" s="45">
        <f t="shared" si="77"/>
        <v>2100</v>
      </c>
      <c r="V199" s="45">
        <f t="shared" si="78"/>
        <v>42</v>
      </c>
      <c r="X199" s="6">
        <f>3+10/20</f>
        <v>3.5</v>
      </c>
      <c r="AF199" s="23">
        <f>O199*X199</f>
        <v>175</v>
      </c>
      <c r="AG199">
        <v>3</v>
      </c>
      <c r="AH199">
        <v>10</v>
      </c>
      <c r="AI199">
        <v>0</v>
      </c>
      <c r="AJ199" s="23">
        <f t="shared" si="80"/>
        <v>3.5</v>
      </c>
      <c r="AK199" s="23"/>
      <c r="AU199" s="23"/>
      <c r="BC199" s="23">
        <v>3.5</v>
      </c>
      <c r="BP199" s="34"/>
      <c r="BS199" s="21"/>
      <c r="BW199" s="20">
        <f t="shared" si="81"/>
        <v>2100</v>
      </c>
      <c r="BX199" s="20">
        <f t="shared" si="82"/>
        <v>42</v>
      </c>
      <c r="CJ199">
        <f t="shared" si="83"/>
        <v>1424</v>
      </c>
      <c r="CK199" s="2" t="s">
        <v>489</v>
      </c>
      <c r="CL199" t="s">
        <v>1052</v>
      </c>
    </row>
    <row r="200" spans="1:89" ht="12.75">
      <c r="A200" s="18">
        <v>1424</v>
      </c>
      <c r="B200" s="14" t="s">
        <v>952</v>
      </c>
      <c r="C200" s="14" t="s">
        <v>558</v>
      </c>
      <c r="D200" s="14" t="s">
        <v>260</v>
      </c>
      <c r="E200" s="14" t="s">
        <v>270</v>
      </c>
      <c r="F200" s="33" t="s">
        <v>196</v>
      </c>
      <c r="G200" s="2">
        <v>2</v>
      </c>
      <c r="H200" s="2" t="s">
        <v>428</v>
      </c>
      <c r="I200" t="s">
        <v>1237</v>
      </c>
      <c r="J200" s="14" t="s">
        <v>326</v>
      </c>
      <c r="K200" s="2" t="s">
        <v>490</v>
      </c>
      <c r="L200" s="14" t="s">
        <v>410</v>
      </c>
      <c r="M200" s="14" t="s">
        <v>1177</v>
      </c>
      <c r="N200" s="2" t="s">
        <v>1293</v>
      </c>
      <c r="O200" s="10">
        <v>3</v>
      </c>
      <c r="U200" s="45">
        <f t="shared" si="77"/>
        <v>127.79999999999998</v>
      </c>
      <c r="V200" s="45">
        <f t="shared" si="78"/>
        <v>42.599999999999994</v>
      </c>
      <c r="X200" s="6">
        <f>3+11/20</f>
        <v>3.55</v>
      </c>
      <c r="AF200" s="23">
        <f>O200*X200</f>
        <v>10.649999999999999</v>
      </c>
      <c r="AG200">
        <v>3</v>
      </c>
      <c r="AH200">
        <v>11</v>
      </c>
      <c r="AI200">
        <v>0</v>
      </c>
      <c r="AJ200" s="23">
        <f t="shared" si="80"/>
        <v>3.55</v>
      </c>
      <c r="AK200" s="23"/>
      <c r="BD200" s="23">
        <v>3.55</v>
      </c>
      <c r="BP200" s="34"/>
      <c r="BS200" s="21"/>
      <c r="BW200" s="20">
        <f t="shared" si="81"/>
        <v>127.79999999999998</v>
      </c>
      <c r="BX200" s="20">
        <f t="shared" si="82"/>
        <v>42.599999999999994</v>
      </c>
      <c r="CJ200">
        <f t="shared" si="83"/>
        <v>1424</v>
      </c>
      <c r="CK200" s="2" t="s">
        <v>490</v>
      </c>
    </row>
    <row r="201" spans="1:89" ht="12.75">
      <c r="A201" s="18"/>
      <c r="E201" s="14"/>
      <c r="F201" s="33"/>
      <c r="G201" s="2"/>
      <c r="K201" s="2"/>
      <c r="U201" s="45"/>
      <c r="V201" s="45"/>
      <c r="X201" s="6"/>
      <c r="AJ201" s="23"/>
      <c r="AK201" s="23"/>
      <c r="BP201" s="34"/>
      <c r="BS201" s="21"/>
      <c r="BW201" s="20"/>
      <c r="BX201" s="20"/>
      <c r="CK201" s="2"/>
    </row>
    <row r="202" spans="1:90" ht="12.75">
      <c r="A202" s="18">
        <v>1424</v>
      </c>
      <c r="B202" s="14" t="s">
        <v>1077</v>
      </c>
      <c r="C202" s="14" t="s">
        <v>558</v>
      </c>
      <c r="D202" s="14" t="s">
        <v>261</v>
      </c>
      <c r="E202" s="14" t="s">
        <v>273</v>
      </c>
      <c r="F202" s="33" t="s">
        <v>208</v>
      </c>
      <c r="G202" s="2"/>
      <c r="H202" s="2" t="s">
        <v>428</v>
      </c>
      <c r="I202" s="2" t="s">
        <v>781</v>
      </c>
      <c r="J202" s="14" t="s">
        <v>326</v>
      </c>
      <c r="K202" s="2" t="s">
        <v>483</v>
      </c>
      <c r="L202" s="14" t="s">
        <v>408</v>
      </c>
      <c r="M202" s="14" t="s">
        <v>944</v>
      </c>
      <c r="N202" s="2" t="s">
        <v>1494</v>
      </c>
      <c r="O202" s="10">
        <v>5.5</v>
      </c>
      <c r="U202" s="45">
        <f>O202*V202</f>
        <v>363</v>
      </c>
      <c r="V202" s="45">
        <f>12*X202</f>
        <v>66</v>
      </c>
      <c r="X202" s="6">
        <f>5+10/20</f>
        <v>5.5</v>
      </c>
      <c r="AF202" s="23">
        <f>O202*X202</f>
        <v>30.25</v>
      </c>
      <c r="AG202">
        <v>5</v>
      </c>
      <c r="AH202">
        <v>10</v>
      </c>
      <c r="AI202">
        <v>0</v>
      </c>
      <c r="AJ202" s="23">
        <f>X202*1</f>
        <v>5.5</v>
      </c>
      <c r="AK202" s="23"/>
      <c r="AX202" s="23"/>
      <c r="BP202" s="34"/>
      <c r="BS202" s="21"/>
      <c r="BW202" s="20">
        <f>U202+(BO202*12*O202)+BT202</f>
        <v>363</v>
      </c>
      <c r="BX202" s="20">
        <f>BW202/O202</f>
        <v>66</v>
      </c>
      <c r="CJ202">
        <f>A202*1</f>
        <v>1424</v>
      </c>
      <c r="CK202" s="2" t="s">
        <v>483</v>
      </c>
      <c r="CL202" t="s">
        <v>1004</v>
      </c>
    </row>
    <row r="203" spans="1:89" ht="12.75">
      <c r="A203" s="18">
        <v>1424</v>
      </c>
      <c r="B203" s="14" t="s">
        <v>1077</v>
      </c>
      <c r="C203" s="14" t="s">
        <v>558</v>
      </c>
      <c r="D203" s="14" t="s">
        <v>261</v>
      </c>
      <c r="E203" s="14" t="s">
        <v>273</v>
      </c>
      <c r="F203" s="33" t="s">
        <v>209</v>
      </c>
      <c r="G203" s="2"/>
      <c r="H203" s="2" t="s">
        <v>428</v>
      </c>
      <c r="I203" s="2" t="s">
        <v>663</v>
      </c>
      <c r="J203" s="14" t="s">
        <v>326</v>
      </c>
      <c r="K203" s="2" t="s">
        <v>447</v>
      </c>
      <c r="L203" s="14" t="s">
        <v>410</v>
      </c>
      <c r="M203" s="14" t="s">
        <v>755</v>
      </c>
      <c r="N203" s="2" t="s">
        <v>1494</v>
      </c>
      <c r="O203" s="10">
        <v>5.5</v>
      </c>
      <c r="U203" s="45">
        <f>O203*V203</f>
        <v>363</v>
      </c>
      <c r="V203" s="45">
        <f>12*X203</f>
        <v>66</v>
      </c>
      <c r="X203" s="6">
        <f>5+10/20</f>
        <v>5.5</v>
      </c>
      <c r="AF203" s="23">
        <f>O203*X203</f>
        <v>30.25</v>
      </c>
      <c r="AG203">
        <v>5</v>
      </c>
      <c r="AH203">
        <v>10</v>
      </c>
      <c r="AI203">
        <v>0</v>
      </c>
      <c r="AJ203" s="23">
        <f>X203*1</f>
        <v>5.5</v>
      </c>
      <c r="AK203" s="23"/>
      <c r="BB203" s="23"/>
      <c r="BP203" s="34"/>
      <c r="BS203" s="21"/>
      <c r="BW203" s="20">
        <f>U203+(BO203*12*O203)+BT203</f>
        <v>363</v>
      </c>
      <c r="BX203" s="20">
        <f>BW203/O203</f>
        <v>66</v>
      </c>
      <c r="CJ203">
        <f>A203*1</f>
        <v>1424</v>
      </c>
      <c r="CK203" s="2" t="s">
        <v>447</v>
      </c>
    </row>
    <row r="204" spans="1:90" ht="12.75">
      <c r="A204" s="18">
        <v>1424</v>
      </c>
      <c r="B204" s="14" t="s">
        <v>1077</v>
      </c>
      <c r="C204" s="14" t="s">
        <v>558</v>
      </c>
      <c r="D204" s="14" t="s">
        <v>261</v>
      </c>
      <c r="E204" s="14" t="s">
        <v>273</v>
      </c>
      <c r="F204" s="33" t="s">
        <v>210</v>
      </c>
      <c r="G204" s="2"/>
      <c r="H204" s="2" t="s">
        <v>428</v>
      </c>
      <c r="I204" s="2" t="s">
        <v>780</v>
      </c>
      <c r="J204" s="14" t="s">
        <v>326</v>
      </c>
      <c r="K204" s="2" t="s">
        <v>483</v>
      </c>
      <c r="L204" s="14" t="s">
        <v>408</v>
      </c>
      <c r="M204" s="14" t="s">
        <v>944</v>
      </c>
      <c r="N204" s="2" t="s">
        <v>1427</v>
      </c>
      <c r="O204" s="10">
        <v>3</v>
      </c>
      <c r="U204" s="45">
        <f>O204*V204</f>
        <v>198</v>
      </c>
      <c r="V204" s="45">
        <f>12*X204</f>
        <v>66</v>
      </c>
      <c r="X204" s="6">
        <f>5+10/20</f>
        <v>5.5</v>
      </c>
      <c r="AB204" s="45"/>
      <c r="AF204" s="23">
        <f>O204*X204</f>
        <v>16.5</v>
      </c>
      <c r="AG204">
        <v>5</v>
      </c>
      <c r="AH204">
        <v>10</v>
      </c>
      <c r="AI204">
        <v>0</v>
      </c>
      <c r="AJ204" s="23">
        <f>X204*1</f>
        <v>5.5</v>
      </c>
      <c r="AK204" s="23"/>
      <c r="AU204" s="7"/>
      <c r="AX204" s="23"/>
      <c r="AY204" s="23">
        <v>5.5</v>
      </c>
      <c r="BP204" s="34"/>
      <c r="BS204" s="21"/>
      <c r="BW204" s="20">
        <f>U204+(BO204*12*O204)+BT204</f>
        <v>198</v>
      </c>
      <c r="BX204" s="20">
        <f>BW204/O204</f>
        <v>66</v>
      </c>
      <c r="CJ204">
        <f>A204*1</f>
        <v>1424</v>
      </c>
      <c r="CK204" s="2" t="s">
        <v>483</v>
      </c>
      <c r="CL204" t="s">
        <v>1005</v>
      </c>
    </row>
    <row r="205" spans="1:89" ht="12.75">
      <c r="A205" s="18"/>
      <c r="E205" s="14"/>
      <c r="F205" s="33"/>
      <c r="G205" s="2"/>
      <c r="K205" s="2"/>
      <c r="U205" s="45"/>
      <c r="V205" s="45"/>
      <c r="X205" s="6"/>
      <c r="AB205" s="45"/>
      <c r="AJ205" s="23"/>
      <c r="AK205" s="23"/>
      <c r="AU205" s="7"/>
      <c r="AX205" s="23"/>
      <c r="AY205" s="23"/>
      <c r="BP205" s="34"/>
      <c r="BS205" s="21"/>
      <c r="BW205" s="20"/>
      <c r="BX205" s="20"/>
      <c r="CK205" s="2"/>
    </row>
    <row r="206" spans="1:90" ht="12.75">
      <c r="A206" s="18">
        <v>1424</v>
      </c>
      <c r="B206" s="14" t="s">
        <v>952</v>
      </c>
      <c r="C206" s="14" t="s">
        <v>300</v>
      </c>
      <c r="D206" s="14" t="s">
        <v>260</v>
      </c>
      <c r="E206" s="14" t="s">
        <v>264</v>
      </c>
      <c r="F206" s="33" t="s">
        <v>211</v>
      </c>
      <c r="G206" s="2"/>
      <c r="H206" s="2" t="s">
        <v>428</v>
      </c>
      <c r="I206" s="2" t="s">
        <v>1216</v>
      </c>
      <c r="J206" s="14" t="s">
        <v>326</v>
      </c>
      <c r="K206" s="2" t="s">
        <v>490</v>
      </c>
      <c r="L206" s="14" t="s">
        <v>410</v>
      </c>
      <c r="M206" s="14" t="s">
        <v>1177</v>
      </c>
      <c r="N206" s="2" t="s">
        <v>1293</v>
      </c>
      <c r="O206" s="10">
        <v>3</v>
      </c>
      <c r="U206" s="45">
        <f>O206*V206</f>
        <v>127.79999999999998</v>
      </c>
      <c r="V206" s="45">
        <f>12*X206</f>
        <v>42.599999999999994</v>
      </c>
      <c r="X206" s="6">
        <f>3+11/20</f>
        <v>3.55</v>
      </c>
      <c r="AB206" s="45"/>
      <c r="AF206" s="23">
        <f>X206*O206</f>
        <v>10.649999999999999</v>
      </c>
      <c r="AG206">
        <v>3</v>
      </c>
      <c r="AH206">
        <v>11</v>
      </c>
      <c r="AI206">
        <v>0</v>
      </c>
      <c r="AJ206" s="23">
        <f>X206*1</f>
        <v>3.55</v>
      </c>
      <c r="AK206" s="23"/>
      <c r="AY206" s="7"/>
      <c r="AZ206" s="19"/>
      <c r="BD206" s="23">
        <v>3.55</v>
      </c>
      <c r="BF206" s="23"/>
      <c r="BP206" s="34"/>
      <c r="BS206" s="21"/>
      <c r="BW206" s="20">
        <f>U206+(BO206*12*O206)+BT206</f>
        <v>127.79999999999998</v>
      </c>
      <c r="BX206" s="20">
        <f>BW206/O206</f>
        <v>42.599999999999994</v>
      </c>
      <c r="CJ206">
        <f>A206*1</f>
        <v>1424</v>
      </c>
      <c r="CK206" s="2" t="s">
        <v>490</v>
      </c>
      <c r="CL206" t="s">
        <v>1046</v>
      </c>
    </row>
    <row r="207" spans="1:89" ht="12.75">
      <c r="A207" s="18"/>
      <c r="E207" s="14"/>
      <c r="F207" s="33"/>
      <c r="G207" s="2"/>
      <c r="K207" s="2"/>
      <c r="U207" s="45"/>
      <c r="V207" s="45"/>
      <c r="X207" s="6"/>
      <c r="AB207" s="45"/>
      <c r="AF207" s="23"/>
      <c r="AK207" s="23"/>
      <c r="AY207" s="19"/>
      <c r="AZ207" s="7"/>
      <c r="BG207" s="23"/>
      <c r="BP207" s="34"/>
      <c r="BS207" s="21"/>
      <c r="BW207" s="20"/>
      <c r="BX207" s="20"/>
      <c r="CK207" s="2"/>
    </row>
    <row r="208" spans="1:90" ht="12.75">
      <c r="A208" s="18">
        <v>1425</v>
      </c>
      <c r="B208" s="14" t="s">
        <v>952</v>
      </c>
      <c r="C208" s="14" t="s">
        <v>558</v>
      </c>
      <c r="D208" s="14" t="s">
        <v>261</v>
      </c>
      <c r="E208" s="14" t="s">
        <v>274</v>
      </c>
      <c r="F208" s="33" t="s">
        <v>212</v>
      </c>
      <c r="G208" s="2">
        <v>1</v>
      </c>
      <c r="H208" s="2" t="s">
        <v>428</v>
      </c>
      <c r="I208" s="2" t="s">
        <v>703</v>
      </c>
      <c r="J208" s="14" t="s">
        <v>326</v>
      </c>
      <c r="K208" s="2" t="s">
        <v>457</v>
      </c>
      <c r="L208" s="14" t="s">
        <v>408</v>
      </c>
      <c r="M208" s="14" t="s">
        <v>754</v>
      </c>
      <c r="N208" s="2" t="s">
        <v>536</v>
      </c>
      <c r="O208" s="10">
        <v>11</v>
      </c>
      <c r="U208" s="45">
        <f>O208*V208</f>
        <v>990</v>
      </c>
      <c r="V208" s="45">
        <f>12*X208</f>
        <v>90</v>
      </c>
      <c r="W208" s="23">
        <f>(20*V208)/33</f>
        <v>54.54545454545455</v>
      </c>
      <c r="X208" s="6">
        <f>7+10/20</f>
        <v>7.5</v>
      </c>
      <c r="AB208" s="45"/>
      <c r="AF208" s="23">
        <f>O208*X208</f>
        <v>82.5</v>
      </c>
      <c r="AG208">
        <v>7</v>
      </c>
      <c r="AH208">
        <v>10</v>
      </c>
      <c r="AI208">
        <v>0</v>
      </c>
      <c r="AJ208" s="23">
        <f>X208*1</f>
        <v>7.5</v>
      </c>
      <c r="AK208" s="23">
        <f>W208/12</f>
        <v>4.545454545454546</v>
      </c>
      <c r="AY208" s="23">
        <v>7.5</v>
      </c>
      <c r="BB208" s="7"/>
      <c r="BG208" s="23"/>
      <c r="BP208" s="34"/>
      <c r="BS208" s="21"/>
      <c r="BW208" s="20">
        <f>U208+(BO208*12*O208)+BT208</f>
        <v>990</v>
      </c>
      <c r="BX208" s="20">
        <f>BW208/O208</f>
        <v>90</v>
      </c>
      <c r="CJ208">
        <f>A208*1</f>
        <v>1425</v>
      </c>
      <c r="CK208" s="2" t="s">
        <v>457</v>
      </c>
      <c r="CL208" t="s">
        <v>1024</v>
      </c>
    </row>
    <row r="209" spans="1:90" ht="12.75">
      <c r="A209" s="18">
        <v>1425</v>
      </c>
      <c r="B209" s="14" t="s">
        <v>952</v>
      </c>
      <c r="C209" s="14" t="s">
        <v>558</v>
      </c>
      <c r="D209" s="14" t="s">
        <v>261</v>
      </c>
      <c r="E209" s="14" t="s">
        <v>274</v>
      </c>
      <c r="F209" s="33" t="s">
        <v>213</v>
      </c>
      <c r="G209" s="2">
        <v>1</v>
      </c>
      <c r="H209" s="2" t="s">
        <v>3</v>
      </c>
      <c r="I209" s="2" t="s">
        <v>705</v>
      </c>
      <c r="J209" s="14" t="s">
        <v>326</v>
      </c>
      <c r="K209" s="2" t="s">
        <v>713</v>
      </c>
      <c r="L209" s="14" t="s">
        <v>744</v>
      </c>
      <c r="M209" s="14" t="s">
        <v>1114</v>
      </c>
      <c r="N209" s="2" t="s">
        <v>534</v>
      </c>
      <c r="O209" s="10">
        <v>11</v>
      </c>
      <c r="U209" s="45">
        <f>O209*V209</f>
        <v>990</v>
      </c>
      <c r="V209" s="45">
        <f>12*X209</f>
        <v>90</v>
      </c>
      <c r="W209" s="23">
        <f>(20*V209)/33</f>
        <v>54.54545454545455</v>
      </c>
      <c r="X209" s="6">
        <f>7+10/20</f>
        <v>7.5</v>
      </c>
      <c r="AB209" s="45"/>
      <c r="AF209" s="23">
        <f>O209*X209</f>
        <v>82.5</v>
      </c>
      <c r="AG209">
        <v>7</v>
      </c>
      <c r="AH209">
        <v>10</v>
      </c>
      <c r="AI209">
        <v>0</v>
      </c>
      <c r="AJ209" s="23">
        <f>X209*1</f>
        <v>7.5</v>
      </c>
      <c r="AK209" s="23">
        <f>W209/12</f>
        <v>4.545454545454546</v>
      </c>
      <c r="BG209" s="23"/>
      <c r="BP209" s="34"/>
      <c r="BS209" s="21"/>
      <c r="BW209" s="20">
        <f>U209+(BO209*12*O209)+BT209</f>
        <v>990</v>
      </c>
      <c r="BX209" s="20">
        <f>BW209/O209</f>
        <v>90</v>
      </c>
      <c r="CJ209">
        <f>A209*1</f>
        <v>1425</v>
      </c>
      <c r="CK209" s="2" t="s">
        <v>713</v>
      </c>
      <c r="CL209" t="s">
        <v>1025</v>
      </c>
    </row>
    <row r="210" spans="1:90" ht="12.75">
      <c r="A210" s="18">
        <v>1425</v>
      </c>
      <c r="B210" s="14" t="s">
        <v>952</v>
      </c>
      <c r="C210" s="14" t="s">
        <v>558</v>
      </c>
      <c r="D210" s="14" t="s">
        <v>261</v>
      </c>
      <c r="E210" s="14" t="s">
        <v>274</v>
      </c>
      <c r="F210" s="33" t="s">
        <v>214</v>
      </c>
      <c r="G210" s="2">
        <v>1</v>
      </c>
      <c r="H210" s="2" t="s">
        <v>428</v>
      </c>
      <c r="I210" s="2" t="s">
        <v>730</v>
      </c>
      <c r="J210" s="14" t="s">
        <v>326</v>
      </c>
      <c r="K210" s="2" t="s">
        <v>722</v>
      </c>
      <c r="L210" s="14" t="s">
        <v>532</v>
      </c>
      <c r="M210" s="14" t="s">
        <v>1460</v>
      </c>
      <c r="N210" s="2" t="s">
        <v>1499</v>
      </c>
      <c r="O210" s="10">
        <v>11</v>
      </c>
      <c r="U210" s="45">
        <f>O210*V210</f>
        <v>594</v>
      </c>
      <c r="V210" s="45">
        <f>12*X210</f>
        <v>54</v>
      </c>
      <c r="W210" s="23">
        <f>(20*V210)/36</f>
        <v>30</v>
      </c>
      <c r="X210" s="6">
        <f>4+10/20</f>
        <v>4.5</v>
      </c>
      <c r="AB210" s="45"/>
      <c r="AF210" s="23">
        <f>O210*X210</f>
        <v>49.5</v>
      </c>
      <c r="AG210">
        <v>4</v>
      </c>
      <c r="AH210">
        <v>10</v>
      </c>
      <c r="AI210">
        <v>0</v>
      </c>
      <c r="AJ210" s="23">
        <f>X210*1</f>
        <v>4.5</v>
      </c>
      <c r="AK210" s="23">
        <f>W210/12</f>
        <v>2.5</v>
      </c>
      <c r="BG210" s="23"/>
      <c r="BP210" s="34"/>
      <c r="BS210" s="21"/>
      <c r="BW210" s="20">
        <f>U210+(BO210*12*O210)+BT210</f>
        <v>594</v>
      </c>
      <c r="BX210" s="20">
        <f>BW210/O210</f>
        <v>54</v>
      </c>
      <c r="CJ210">
        <f>A210*1</f>
        <v>1425</v>
      </c>
      <c r="CK210" s="2" t="s">
        <v>722</v>
      </c>
      <c r="CL210" t="s">
        <v>1174</v>
      </c>
    </row>
    <row r="211" spans="1:90" ht="12.75">
      <c r="A211" s="18">
        <v>1425</v>
      </c>
      <c r="B211" s="14" t="s">
        <v>952</v>
      </c>
      <c r="C211" s="14" t="s">
        <v>558</v>
      </c>
      <c r="D211" s="14" t="s">
        <v>261</v>
      </c>
      <c r="E211" s="14" t="s">
        <v>274</v>
      </c>
      <c r="F211" s="33" t="s">
        <v>218</v>
      </c>
      <c r="G211" s="2">
        <v>1</v>
      </c>
      <c r="H211" s="2" t="s">
        <v>428</v>
      </c>
      <c r="I211" s="2" t="s">
        <v>662</v>
      </c>
      <c r="J211" s="14" t="s">
        <v>326</v>
      </c>
      <c r="K211" s="2" t="s">
        <v>447</v>
      </c>
      <c r="L211" s="14" t="s">
        <v>410</v>
      </c>
      <c r="M211" s="14" t="s">
        <v>759</v>
      </c>
      <c r="N211" s="2" t="s">
        <v>567</v>
      </c>
      <c r="O211" s="10">
        <v>1</v>
      </c>
      <c r="U211" s="45">
        <f>O211*V211</f>
        <v>62.400000000000006</v>
      </c>
      <c r="V211" s="45">
        <f>12*X211</f>
        <v>62.400000000000006</v>
      </c>
      <c r="X211" s="6">
        <f>5+4/20</f>
        <v>5.2</v>
      </c>
      <c r="AB211" s="45"/>
      <c r="AC211">
        <v>5</v>
      </c>
      <c r="AD211">
        <v>4</v>
      </c>
      <c r="AE211">
        <v>0</v>
      </c>
      <c r="AF211" s="23">
        <f>AC211+AD211/20+AE211/240</f>
        <v>5.2</v>
      </c>
      <c r="AG211">
        <v>5</v>
      </c>
      <c r="AH211">
        <v>4</v>
      </c>
      <c r="AI211">
        <v>0</v>
      </c>
      <c r="AJ211" s="23">
        <f>X211*1</f>
        <v>5.2</v>
      </c>
      <c r="AK211" s="23"/>
      <c r="AW211" s="7"/>
      <c r="AX211" s="23">
        <v>5.2</v>
      </c>
      <c r="BG211" s="23"/>
      <c r="BP211" s="34"/>
      <c r="BS211" s="21"/>
      <c r="BW211" s="20">
        <f>U211+(BO211*12*O211)+BT211</f>
        <v>62.400000000000006</v>
      </c>
      <c r="BX211" s="20">
        <f>BW211/O211</f>
        <v>62.400000000000006</v>
      </c>
      <c r="CJ211">
        <f>A211*1</f>
        <v>1425</v>
      </c>
      <c r="CK211" s="2" t="s">
        <v>447</v>
      </c>
      <c r="CL211" t="s">
        <v>1020</v>
      </c>
    </row>
    <row r="212" spans="1:89" ht="12.75">
      <c r="A212" s="18"/>
      <c r="E212" s="14"/>
      <c r="F212" s="33"/>
      <c r="G212" s="2"/>
      <c r="K212" s="2"/>
      <c r="X212" s="6"/>
      <c r="AB212" s="45"/>
      <c r="AK212" s="23"/>
      <c r="BC212" s="23"/>
      <c r="BG212" s="23"/>
      <c r="BP212" s="34"/>
      <c r="BS212" s="21"/>
      <c r="BW212" s="20"/>
      <c r="BX212" s="20"/>
      <c r="CK212" s="2"/>
    </row>
    <row r="213" spans="1:90" ht="12.75">
      <c r="A213" s="18">
        <v>1425</v>
      </c>
      <c r="B213" s="14" t="s">
        <v>952</v>
      </c>
      <c r="C213" s="14" t="s">
        <v>558</v>
      </c>
      <c r="D213" s="14" t="s">
        <v>261</v>
      </c>
      <c r="E213" s="14" t="s">
        <v>274</v>
      </c>
      <c r="F213" s="33" t="s">
        <v>219</v>
      </c>
      <c r="G213" s="2">
        <v>2</v>
      </c>
      <c r="H213" s="2" t="s">
        <v>428</v>
      </c>
      <c r="I213" s="2" t="s">
        <v>844</v>
      </c>
      <c r="J213" s="14" t="s">
        <v>326</v>
      </c>
      <c r="K213" s="2" t="s">
        <v>476</v>
      </c>
      <c r="L213" s="14" t="s">
        <v>410</v>
      </c>
      <c r="M213" s="14" t="s">
        <v>748</v>
      </c>
      <c r="N213" s="2" t="s">
        <v>287</v>
      </c>
      <c r="O213" s="10">
        <v>1</v>
      </c>
      <c r="U213" s="45">
        <f aca="true" t="shared" si="84" ref="U213:U222">O213*V213</f>
        <v>45.599999999999994</v>
      </c>
      <c r="V213" s="45">
        <f aca="true" t="shared" si="85" ref="V213:V222">12*X213</f>
        <v>45.599999999999994</v>
      </c>
      <c r="X213" s="6">
        <f>3+16/20</f>
        <v>3.8</v>
      </c>
      <c r="AB213" s="45"/>
      <c r="AC213">
        <v>3</v>
      </c>
      <c r="AD213">
        <v>16</v>
      </c>
      <c r="AE213">
        <v>0</v>
      </c>
      <c r="AF213" s="23">
        <f>AC213+AD213/20+AE213/240</f>
        <v>3.8</v>
      </c>
      <c r="AG213">
        <v>3</v>
      </c>
      <c r="AH213">
        <v>16</v>
      </c>
      <c r="AI213">
        <v>0</v>
      </c>
      <c r="AJ213" s="23">
        <f aca="true" t="shared" si="86" ref="AJ213:AJ222">X213*1</f>
        <v>3.8</v>
      </c>
      <c r="AK213" s="23"/>
      <c r="BB213" s="23">
        <v>3.8</v>
      </c>
      <c r="BC213" s="23"/>
      <c r="BG213" s="7"/>
      <c r="BP213" s="34"/>
      <c r="BS213" s="21"/>
      <c r="BW213" s="20">
        <f aca="true" t="shared" si="87" ref="BW213:BW222">U213+(BO213*12*O213)+BT213</f>
        <v>45.599999999999994</v>
      </c>
      <c r="BX213" s="20">
        <f aca="true" t="shared" si="88" ref="BX213:BX222">BW213/O213</f>
        <v>45.599999999999994</v>
      </c>
      <c r="CJ213">
        <f aca="true" t="shared" si="89" ref="CJ213:CJ222">A213*1</f>
        <v>1425</v>
      </c>
      <c r="CK213" s="2" t="s">
        <v>476</v>
      </c>
      <c r="CL213" t="s">
        <v>1047</v>
      </c>
    </row>
    <row r="214" spans="1:89" ht="12.75">
      <c r="A214" s="18">
        <v>1425</v>
      </c>
      <c r="B214" s="14" t="s">
        <v>952</v>
      </c>
      <c r="C214" s="14" t="s">
        <v>558</v>
      </c>
      <c r="D214" s="14" t="s">
        <v>261</v>
      </c>
      <c r="E214" s="14" t="s">
        <v>274</v>
      </c>
      <c r="F214" s="33" t="s">
        <v>220</v>
      </c>
      <c r="G214" s="2">
        <v>2</v>
      </c>
      <c r="H214" s="2" t="s">
        <v>428</v>
      </c>
      <c r="I214" s="2" t="s">
        <v>375</v>
      </c>
      <c r="J214" s="14" t="s">
        <v>326</v>
      </c>
      <c r="K214" s="2" t="s">
        <v>433</v>
      </c>
      <c r="L214" s="14" t="s">
        <v>410</v>
      </c>
      <c r="M214" s="14" t="s">
        <v>327</v>
      </c>
      <c r="N214" s="2" t="s">
        <v>636</v>
      </c>
      <c r="O214" s="10">
        <v>1</v>
      </c>
      <c r="U214" s="45">
        <f t="shared" si="84"/>
        <v>46.8</v>
      </c>
      <c r="V214" s="45">
        <f t="shared" si="85"/>
        <v>46.8</v>
      </c>
      <c r="X214" s="6">
        <f>3+18/20</f>
        <v>3.9</v>
      </c>
      <c r="AB214" s="45"/>
      <c r="AC214">
        <v>3</v>
      </c>
      <c r="AD214">
        <v>18</v>
      </c>
      <c r="AE214">
        <v>0</v>
      </c>
      <c r="AF214" s="23">
        <f>AC214+AD214/20+AE214/240</f>
        <v>3.9</v>
      </c>
      <c r="AG214">
        <v>3</v>
      </c>
      <c r="AH214">
        <v>18</v>
      </c>
      <c r="AI214">
        <v>0</v>
      </c>
      <c r="AJ214" s="23">
        <f t="shared" si="86"/>
        <v>3.9</v>
      </c>
      <c r="AK214" s="23"/>
      <c r="AX214" s="23">
        <v>3.9</v>
      </c>
      <c r="BP214" s="34"/>
      <c r="BS214" s="21"/>
      <c r="BW214" s="20">
        <f t="shared" si="87"/>
        <v>46.8</v>
      </c>
      <c r="BX214" s="20">
        <f t="shared" si="88"/>
        <v>46.8</v>
      </c>
      <c r="CJ214">
        <f t="shared" si="89"/>
        <v>1425</v>
      </c>
      <c r="CK214" s="2" t="s">
        <v>433</v>
      </c>
    </row>
    <row r="215" spans="1:89" ht="12.75">
      <c r="A215" s="18">
        <v>1425</v>
      </c>
      <c r="B215" s="14" t="s">
        <v>952</v>
      </c>
      <c r="C215" s="14" t="s">
        <v>558</v>
      </c>
      <c r="D215" s="14" t="s">
        <v>261</v>
      </c>
      <c r="E215" s="14" t="s">
        <v>274</v>
      </c>
      <c r="F215" s="33" t="s">
        <v>221</v>
      </c>
      <c r="G215" s="2">
        <v>2</v>
      </c>
      <c r="H215" s="2" t="s">
        <v>428</v>
      </c>
      <c r="I215" s="2" t="s">
        <v>1228</v>
      </c>
      <c r="J215" s="14" t="s">
        <v>326</v>
      </c>
      <c r="K215" s="2" t="s">
        <v>490</v>
      </c>
      <c r="L215" s="14" t="s">
        <v>410</v>
      </c>
      <c r="M215" s="14" t="s">
        <v>1177</v>
      </c>
      <c r="N215" s="2" t="s">
        <v>1364</v>
      </c>
      <c r="O215" s="10">
        <v>1</v>
      </c>
      <c r="U215" s="45">
        <f t="shared" si="84"/>
        <v>45.599999999999994</v>
      </c>
      <c r="V215" s="45">
        <f t="shared" si="85"/>
        <v>45.599999999999994</v>
      </c>
      <c r="X215" s="6">
        <f>3+16/20</f>
        <v>3.8</v>
      </c>
      <c r="AB215" s="45"/>
      <c r="AC215">
        <v>3</v>
      </c>
      <c r="AD215">
        <v>16</v>
      </c>
      <c r="AE215">
        <v>0</v>
      </c>
      <c r="AF215" s="23">
        <f>AC215+AD215/20+AE215/240</f>
        <v>3.8</v>
      </c>
      <c r="AG215">
        <v>3</v>
      </c>
      <c r="AH215">
        <v>16</v>
      </c>
      <c r="AI215">
        <v>0</v>
      </c>
      <c r="AJ215" s="23">
        <f t="shared" si="86"/>
        <v>3.8</v>
      </c>
      <c r="AK215" s="23"/>
      <c r="BD215" s="23"/>
      <c r="BE215" s="23">
        <v>3.8</v>
      </c>
      <c r="BG215" s="23">
        <v>3.8</v>
      </c>
      <c r="BP215" s="34"/>
      <c r="BS215" s="21"/>
      <c r="BW215" s="20">
        <f t="shared" si="87"/>
        <v>45.599999999999994</v>
      </c>
      <c r="BX215" s="20">
        <f t="shared" si="88"/>
        <v>45.599999999999994</v>
      </c>
      <c r="CJ215">
        <f t="shared" si="89"/>
        <v>1425</v>
      </c>
      <c r="CK215" s="2" t="s">
        <v>490</v>
      </c>
    </row>
    <row r="216" spans="1:90" ht="12.75">
      <c r="A216" s="18">
        <v>1425</v>
      </c>
      <c r="B216" s="14" t="s">
        <v>952</v>
      </c>
      <c r="C216" s="14" t="s">
        <v>558</v>
      </c>
      <c r="D216" s="14" t="s">
        <v>261</v>
      </c>
      <c r="E216" s="14" t="s">
        <v>274</v>
      </c>
      <c r="F216" s="33" t="s">
        <v>222</v>
      </c>
      <c r="G216" s="2">
        <v>2</v>
      </c>
      <c r="H216" s="2" t="s">
        <v>1564</v>
      </c>
      <c r="I216" s="2" t="s">
        <v>832</v>
      </c>
      <c r="J216" s="14" t="s">
        <v>326</v>
      </c>
      <c r="K216" s="2" t="s">
        <v>1567</v>
      </c>
      <c r="L216" s="14" t="s">
        <v>1571</v>
      </c>
      <c r="M216" s="14" t="s">
        <v>745</v>
      </c>
      <c r="N216" s="2" t="s">
        <v>765</v>
      </c>
      <c r="O216" s="10">
        <v>6</v>
      </c>
      <c r="U216" s="45">
        <f t="shared" si="84"/>
        <v>147</v>
      </c>
      <c r="V216" s="45">
        <f t="shared" si="85"/>
        <v>24.5</v>
      </c>
      <c r="X216" s="6">
        <f>2+10/240</f>
        <v>2.0416666666666665</v>
      </c>
      <c r="AB216" s="45"/>
      <c r="AF216" s="23">
        <f>O216*X216</f>
        <v>12.25</v>
      </c>
      <c r="AG216">
        <v>2</v>
      </c>
      <c r="AH216">
        <v>0</v>
      </c>
      <c r="AI216">
        <v>10</v>
      </c>
      <c r="AJ216" s="23">
        <f t="shared" si="86"/>
        <v>2.0416666666666665</v>
      </c>
      <c r="AK216" s="23"/>
      <c r="BD216" s="23"/>
      <c r="BG216" s="23">
        <v>2.0416666666666665</v>
      </c>
      <c r="BP216" s="34"/>
      <c r="BS216" s="21"/>
      <c r="BW216" s="20">
        <f t="shared" si="87"/>
        <v>147</v>
      </c>
      <c r="BX216" s="20">
        <f t="shared" si="88"/>
        <v>24.5</v>
      </c>
      <c r="CJ216">
        <f t="shared" si="89"/>
        <v>1425</v>
      </c>
      <c r="CK216" s="2" t="s">
        <v>1567</v>
      </c>
      <c r="CL216" t="s">
        <v>1041</v>
      </c>
    </row>
    <row r="217" spans="1:89" ht="12.75">
      <c r="A217" s="18">
        <v>1425</v>
      </c>
      <c r="B217" s="14" t="s">
        <v>952</v>
      </c>
      <c r="C217" s="14" t="s">
        <v>558</v>
      </c>
      <c r="D217" s="14" t="s">
        <v>261</v>
      </c>
      <c r="E217" s="14" t="s">
        <v>274</v>
      </c>
      <c r="F217" s="33" t="s">
        <v>223</v>
      </c>
      <c r="G217" s="2">
        <v>2</v>
      </c>
      <c r="H217" s="2" t="s">
        <v>1564</v>
      </c>
      <c r="I217" s="2" t="s">
        <v>832</v>
      </c>
      <c r="J217" s="14" t="s">
        <v>326</v>
      </c>
      <c r="K217" s="2" t="s">
        <v>1567</v>
      </c>
      <c r="L217" s="14" t="s">
        <v>1571</v>
      </c>
      <c r="M217" s="14" t="s">
        <v>745</v>
      </c>
      <c r="N217" s="2" t="s">
        <v>248</v>
      </c>
      <c r="O217" s="10">
        <v>1</v>
      </c>
      <c r="U217" s="45">
        <f t="shared" si="84"/>
        <v>25.4</v>
      </c>
      <c r="V217" s="45">
        <f t="shared" si="85"/>
        <v>25.4</v>
      </c>
      <c r="X217" s="6">
        <f>2+2/20+4/240</f>
        <v>2.1166666666666667</v>
      </c>
      <c r="AB217" s="45"/>
      <c r="AC217">
        <v>2</v>
      </c>
      <c r="AD217">
        <v>2</v>
      </c>
      <c r="AE217">
        <v>4</v>
      </c>
      <c r="AF217" s="23">
        <f>AC217+AD217/20+AE217/240</f>
        <v>2.1166666666666667</v>
      </c>
      <c r="AG217">
        <v>2</v>
      </c>
      <c r="AH217">
        <v>2</v>
      </c>
      <c r="AI217">
        <v>4</v>
      </c>
      <c r="AJ217" s="23">
        <f t="shared" si="86"/>
        <v>2.1166666666666667</v>
      </c>
      <c r="AK217" s="23"/>
      <c r="BC217" s="7"/>
      <c r="BG217" s="23">
        <v>2.1166666666666667</v>
      </c>
      <c r="BP217" s="34"/>
      <c r="BS217" s="21"/>
      <c r="BW217" s="20">
        <f t="shared" si="87"/>
        <v>25.4</v>
      </c>
      <c r="BX217" s="20">
        <f t="shared" si="88"/>
        <v>25.4</v>
      </c>
      <c r="CJ217">
        <f t="shared" si="89"/>
        <v>1425</v>
      </c>
      <c r="CK217" s="2" t="s">
        <v>1567</v>
      </c>
    </row>
    <row r="218" spans="1:89" ht="12.75">
      <c r="A218" s="18">
        <v>1425</v>
      </c>
      <c r="B218" s="14" t="s">
        <v>952</v>
      </c>
      <c r="C218" s="14" t="s">
        <v>558</v>
      </c>
      <c r="D218" s="14" t="s">
        <v>261</v>
      </c>
      <c r="E218" s="14" t="s">
        <v>274</v>
      </c>
      <c r="F218" s="33" t="s">
        <v>224</v>
      </c>
      <c r="G218" s="2">
        <v>2</v>
      </c>
      <c r="H218" s="2" t="s">
        <v>1564</v>
      </c>
      <c r="I218" s="2" t="s">
        <v>832</v>
      </c>
      <c r="J218" s="14" t="s">
        <v>326</v>
      </c>
      <c r="K218" s="2" t="s">
        <v>1567</v>
      </c>
      <c r="L218" s="14" t="s">
        <v>1571</v>
      </c>
      <c r="M218" s="14" t="s">
        <v>745</v>
      </c>
      <c r="N218" s="2" t="s">
        <v>14</v>
      </c>
      <c r="O218" s="10">
        <v>1</v>
      </c>
      <c r="U218" s="45">
        <f t="shared" si="84"/>
        <v>24.999999999999996</v>
      </c>
      <c r="V218" s="45">
        <f t="shared" si="85"/>
        <v>24.999999999999996</v>
      </c>
      <c r="X218" s="6">
        <f>2+1/20+8/240</f>
        <v>2.083333333333333</v>
      </c>
      <c r="AB218" s="45"/>
      <c r="AC218">
        <v>2</v>
      </c>
      <c r="AD218">
        <v>1</v>
      </c>
      <c r="AE218">
        <v>8</v>
      </c>
      <c r="AF218" s="23">
        <f>AC218+AD218/20+AE218/240</f>
        <v>2.083333333333333</v>
      </c>
      <c r="AG218">
        <v>2</v>
      </c>
      <c r="AH218">
        <v>1</v>
      </c>
      <c r="AI218">
        <v>8</v>
      </c>
      <c r="AJ218" s="23">
        <f t="shared" si="86"/>
        <v>2.083333333333333</v>
      </c>
      <c r="AK218" s="23"/>
      <c r="AX218" s="23"/>
      <c r="BC218" s="7"/>
      <c r="BG218" s="23">
        <v>2.0833333333333335</v>
      </c>
      <c r="BP218" s="34"/>
      <c r="BS218" s="21"/>
      <c r="BW218" s="20">
        <f t="shared" si="87"/>
        <v>24.999999999999996</v>
      </c>
      <c r="BX218" s="20">
        <f t="shared" si="88"/>
        <v>24.999999999999996</v>
      </c>
      <c r="CJ218">
        <f t="shared" si="89"/>
        <v>1425</v>
      </c>
      <c r="CK218" s="2" t="s">
        <v>1567</v>
      </c>
    </row>
    <row r="219" spans="1:89" ht="12.75">
      <c r="A219" s="18">
        <v>1425</v>
      </c>
      <c r="B219" s="14" t="s">
        <v>952</v>
      </c>
      <c r="C219" s="14" t="s">
        <v>558</v>
      </c>
      <c r="D219" s="14" t="s">
        <v>261</v>
      </c>
      <c r="E219" s="14" t="s">
        <v>274</v>
      </c>
      <c r="F219" s="33" t="s">
        <v>225</v>
      </c>
      <c r="G219" s="2">
        <v>2</v>
      </c>
      <c r="H219" s="2" t="s">
        <v>1564</v>
      </c>
      <c r="I219" s="2" t="s">
        <v>832</v>
      </c>
      <c r="J219" s="14" t="s">
        <v>326</v>
      </c>
      <c r="K219" s="2" t="s">
        <v>1567</v>
      </c>
      <c r="L219" s="14" t="s">
        <v>1571</v>
      </c>
      <c r="M219" s="14" t="s">
        <v>745</v>
      </c>
      <c r="N219" s="2" t="s">
        <v>1464</v>
      </c>
      <c r="O219" s="10">
        <v>1</v>
      </c>
      <c r="U219" s="45">
        <f t="shared" si="84"/>
        <v>25.35</v>
      </c>
      <c r="V219" s="45">
        <f t="shared" si="85"/>
        <v>25.35</v>
      </c>
      <c r="X219" s="6">
        <f>2+2/20+3/240</f>
        <v>2.1125000000000003</v>
      </c>
      <c r="AB219" s="45"/>
      <c r="AC219">
        <v>2</v>
      </c>
      <c r="AD219">
        <v>2</v>
      </c>
      <c r="AE219">
        <v>3</v>
      </c>
      <c r="AF219" s="23">
        <f>AC219+AD219/20+AE219/240</f>
        <v>2.1125000000000003</v>
      </c>
      <c r="AG219">
        <v>2</v>
      </c>
      <c r="AH219">
        <v>2</v>
      </c>
      <c r="AI219">
        <v>3</v>
      </c>
      <c r="AJ219" s="23">
        <f t="shared" si="86"/>
        <v>2.1125000000000003</v>
      </c>
      <c r="AK219" s="23"/>
      <c r="BC219" s="7"/>
      <c r="BG219" s="23">
        <v>2.1125</v>
      </c>
      <c r="BP219" s="34"/>
      <c r="BS219" s="21"/>
      <c r="BW219" s="20">
        <f t="shared" si="87"/>
        <v>25.35</v>
      </c>
      <c r="BX219" s="20">
        <f t="shared" si="88"/>
        <v>25.35</v>
      </c>
      <c r="CJ219">
        <f t="shared" si="89"/>
        <v>1425</v>
      </c>
      <c r="CK219" s="2" t="s">
        <v>1567</v>
      </c>
    </row>
    <row r="220" spans="1:89" ht="12.75">
      <c r="A220" s="18">
        <v>1425</v>
      </c>
      <c r="B220" s="14" t="s">
        <v>952</v>
      </c>
      <c r="C220" s="14" t="s">
        <v>558</v>
      </c>
      <c r="D220" s="14" t="s">
        <v>261</v>
      </c>
      <c r="E220" s="14" t="s">
        <v>274</v>
      </c>
      <c r="F220" s="33" t="s">
        <v>215</v>
      </c>
      <c r="G220" s="2">
        <v>2</v>
      </c>
      <c r="H220" s="2" t="s">
        <v>1564</v>
      </c>
      <c r="I220" s="2" t="s">
        <v>832</v>
      </c>
      <c r="J220" s="14" t="s">
        <v>326</v>
      </c>
      <c r="K220" s="2" t="s">
        <v>1567</v>
      </c>
      <c r="L220" s="14" t="s">
        <v>1571</v>
      </c>
      <c r="M220" s="14" t="s">
        <v>745</v>
      </c>
      <c r="N220" s="2" t="s">
        <v>809</v>
      </c>
      <c r="O220" s="10">
        <v>1</v>
      </c>
      <c r="U220" s="45">
        <f t="shared" si="84"/>
        <v>24.65</v>
      </c>
      <c r="V220" s="45">
        <f t="shared" si="85"/>
        <v>24.65</v>
      </c>
      <c r="X220" s="6">
        <f>2+1/20+1/240</f>
        <v>2.0541666666666667</v>
      </c>
      <c r="AB220" s="45"/>
      <c r="AC220">
        <v>2</v>
      </c>
      <c r="AD220">
        <v>1</v>
      </c>
      <c r="AE220">
        <v>1</v>
      </c>
      <c r="AF220" s="23">
        <f>AC220+AD220/20+AE220/240</f>
        <v>2.0541666666666667</v>
      </c>
      <c r="AG220">
        <v>2</v>
      </c>
      <c r="AH220">
        <v>1</v>
      </c>
      <c r="AI220">
        <v>1</v>
      </c>
      <c r="AJ220" s="23">
        <f t="shared" si="86"/>
        <v>2.0541666666666667</v>
      </c>
      <c r="AK220" s="23"/>
      <c r="BG220" s="23">
        <v>2.0541666666666667</v>
      </c>
      <c r="BP220" s="34"/>
      <c r="BS220" s="21"/>
      <c r="BW220" s="20">
        <f t="shared" si="87"/>
        <v>24.65</v>
      </c>
      <c r="BX220" s="20">
        <f t="shared" si="88"/>
        <v>24.65</v>
      </c>
      <c r="CJ220">
        <f t="shared" si="89"/>
        <v>1425</v>
      </c>
      <c r="CK220" s="2" t="s">
        <v>1567</v>
      </c>
    </row>
    <row r="221" spans="1:90" ht="12.75">
      <c r="A221" s="18">
        <v>1425</v>
      </c>
      <c r="B221" s="14" t="s">
        <v>952</v>
      </c>
      <c r="C221" s="14" t="s">
        <v>558</v>
      </c>
      <c r="D221" s="14" t="s">
        <v>261</v>
      </c>
      <c r="E221" s="14" t="s">
        <v>274</v>
      </c>
      <c r="F221" s="33" t="s">
        <v>216</v>
      </c>
      <c r="G221" s="2">
        <v>2</v>
      </c>
      <c r="H221" s="2" t="s">
        <v>428</v>
      </c>
      <c r="I221" s="2" t="s">
        <v>1124</v>
      </c>
      <c r="J221" s="14" t="s">
        <v>326</v>
      </c>
      <c r="K221" s="2" t="s">
        <v>487</v>
      </c>
      <c r="L221" s="14" t="s">
        <v>410</v>
      </c>
      <c r="M221" s="14" t="s">
        <v>1107</v>
      </c>
      <c r="N221" s="2" t="s">
        <v>1301</v>
      </c>
      <c r="O221" s="10">
        <v>25</v>
      </c>
      <c r="U221" s="45">
        <f t="shared" si="84"/>
        <v>1110.0000000000002</v>
      </c>
      <c r="V221" s="45">
        <f t="shared" si="85"/>
        <v>44.400000000000006</v>
      </c>
      <c r="X221" s="6">
        <f>3+14/20</f>
        <v>3.7</v>
      </c>
      <c r="AF221" s="23">
        <f>O221*X221</f>
        <v>92.5</v>
      </c>
      <c r="AG221">
        <v>3</v>
      </c>
      <c r="AH221">
        <v>14</v>
      </c>
      <c r="AI221">
        <v>0</v>
      </c>
      <c r="AJ221" s="23">
        <f t="shared" si="86"/>
        <v>3.7</v>
      </c>
      <c r="AK221" s="23"/>
      <c r="AX221" s="23"/>
      <c r="BC221" s="23">
        <v>3.7</v>
      </c>
      <c r="BS221" s="21"/>
      <c r="BW221" s="20">
        <f t="shared" si="87"/>
        <v>1110.0000000000002</v>
      </c>
      <c r="BX221" s="20">
        <f t="shared" si="88"/>
        <v>44.400000000000006</v>
      </c>
      <c r="CJ221">
        <f t="shared" si="89"/>
        <v>1425</v>
      </c>
      <c r="CK221" s="2" t="s">
        <v>487</v>
      </c>
      <c r="CL221" t="s">
        <v>1020</v>
      </c>
    </row>
    <row r="222" spans="1:90" ht="12.75">
      <c r="A222" s="18">
        <v>1425</v>
      </c>
      <c r="B222" s="14" t="s">
        <v>952</v>
      </c>
      <c r="C222" s="14" t="s">
        <v>558</v>
      </c>
      <c r="D222" s="14" t="s">
        <v>261</v>
      </c>
      <c r="E222" s="14" t="s">
        <v>274</v>
      </c>
      <c r="F222" s="33" t="s">
        <v>217</v>
      </c>
      <c r="G222" s="2">
        <v>2</v>
      </c>
      <c r="H222" s="2" t="s">
        <v>428</v>
      </c>
      <c r="I222" s="2" t="s">
        <v>1520</v>
      </c>
      <c r="J222" s="14" t="s">
        <v>326</v>
      </c>
      <c r="K222" s="2" t="s">
        <v>498</v>
      </c>
      <c r="L222" s="14" t="s">
        <v>410</v>
      </c>
      <c r="M222" s="14" t="s">
        <v>1460</v>
      </c>
      <c r="N222" s="2" t="s">
        <v>1301</v>
      </c>
      <c r="O222" s="10">
        <v>25</v>
      </c>
      <c r="U222" s="45">
        <f t="shared" si="84"/>
        <v>1110.0000000000002</v>
      </c>
      <c r="V222" s="45">
        <f t="shared" si="85"/>
        <v>44.400000000000006</v>
      </c>
      <c r="X222" s="6">
        <f>3+14/20</f>
        <v>3.7</v>
      </c>
      <c r="AB222" s="45"/>
      <c r="AF222" s="23">
        <f>O222*X222</f>
        <v>92.5</v>
      </c>
      <c r="AG222">
        <v>3</v>
      </c>
      <c r="AH222">
        <v>14</v>
      </c>
      <c r="AI222">
        <v>0</v>
      </c>
      <c r="AJ222" s="23">
        <f t="shared" si="86"/>
        <v>3.7</v>
      </c>
      <c r="AK222" s="23"/>
      <c r="AY222" s="7"/>
      <c r="AZ222" s="19"/>
      <c r="BB222" s="23"/>
      <c r="BC222" s="23">
        <v>3.7</v>
      </c>
      <c r="BP222" s="34"/>
      <c r="BS222" s="21"/>
      <c r="BW222" s="20">
        <f t="shared" si="87"/>
        <v>1110.0000000000002</v>
      </c>
      <c r="BX222" s="20">
        <f t="shared" si="88"/>
        <v>44.400000000000006</v>
      </c>
      <c r="CJ222">
        <f t="shared" si="89"/>
        <v>1425</v>
      </c>
      <c r="CK222" s="2" t="s">
        <v>498</v>
      </c>
      <c r="CL222" t="s">
        <v>1020</v>
      </c>
    </row>
    <row r="223" spans="1:89" ht="12.75">
      <c r="A223" s="18"/>
      <c r="E223" s="14"/>
      <c r="F223" s="33"/>
      <c r="G223" s="2"/>
      <c r="K223" s="2"/>
      <c r="U223" s="45"/>
      <c r="V223" s="45"/>
      <c r="X223" s="6"/>
      <c r="AB223" s="45"/>
      <c r="AF223" s="23"/>
      <c r="AJ223" s="23"/>
      <c r="AK223" s="23"/>
      <c r="AY223" s="19"/>
      <c r="AZ223" s="7"/>
      <c r="BG223" s="23"/>
      <c r="BP223" s="34"/>
      <c r="BS223" s="21"/>
      <c r="CK223" s="2"/>
    </row>
    <row r="224" spans="1:90" ht="12.75">
      <c r="A224" s="18">
        <v>1425</v>
      </c>
      <c r="B224" s="14" t="s">
        <v>952</v>
      </c>
      <c r="C224" s="14" t="s">
        <v>300</v>
      </c>
      <c r="D224" s="14" t="s">
        <v>261</v>
      </c>
      <c r="E224" s="14" t="s">
        <v>270</v>
      </c>
      <c r="F224" s="33" t="s">
        <v>226</v>
      </c>
      <c r="G224" s="2"/>
      <c r="H224" s="2" t="s">
        <v>428</v>
      </c>
      <c r="I224" s="2" t="s">
        <v>384</v>
      </c>
      <c r="J224" s="14" t="s">
        <v>326</v>
      </c>
      <c r="K224" s="2" t="s">
        <v>432</v>
      </c>
      <c r="L224" s="14" t="s">
        <v>410</v>
      </c>
      <c r="M224" s="14" t="s">
        <v>327</v>
      </c>
      <c r="N224" s="2" t="s">
        <v>1293</v>
      </c>
      <c r="O224" s="10">
        <v>3</v>
      </c>
      <c r="U224" s="45">
        <f>O224*V224</f>
        <v>133.20000000000002</v>
      </c>
      <c r="V224" s="45">
        <f>12*X224</f>
        <v>44.400000000000006</v>
      </c>
      <c r="X224" s="6">
        <f>3+14/20</f>
        <v>3.7</v>
      </c>
      <c r="AB224" s="45"/>
      <c r="AF224" s="23">
        <f>O224*X224</f>
        <v>11.100000000000001</v>
      </c>
      <c r="AG224">
        <v>3</v>
      </c>
      <c r="AH224">
        <v>14</v>
      </c>
      <c r="AI224">
        <v>0</v>
      </c>
      <c r="AJ224" s="23">
        <f>X224*1</f>
        <v>3.7</v>
      </c>
      <c r="AK224" s="23"/>
      <c r="BB224" s="7"/>
      <c r="BD224" s="23">
        <v>3.7</v>
      </c>
      <c r="BP224" s="34"/>
      <c r="BS224" s="21"/>
      <c r="BW224" s="20">
        <f>U224+(BO224*12*O224)+BT224</f>
        <v>133.20000000000002</v>
      </c>
      <c r="BX224" s="20">
        <f>BW224/O224</f>
        <v>44.400000000000006</v>
      </c>
      <c r="CJ224">
        <f>A224*1</f>
        <v>1425</v>
      </c>
      <c r="CK224" s="2" t="s">
        <v>432</v>
      </c>
      <c r="CL224" t="s">
        <v>1044</v>
      </c>
    </row>
    <row r="225" spans="1:89" ht="12.75">
      <c r="A225" s="18"/>
      <c r="E225" s="14"/>
      <c r="F225" s="33"/>
      <c r="G225" s="2"/>
      <c r="K225" s="2"/>
      <c r="X225" s="6"/>
      <c r="AB225" s="45"/>
      <c r="AF225" s="23"/>
      <c r="AJ225" s="23"/>
      <c r="AK225" s="23"/>
      <c r="BG225" s="7"/>
      <c r="BP225" s="34"/>
      <c r="BS225" s="21"/>
      <c r="BW225" s="20"/>
      <c r="BX225" s="20"/>
      <c r="CK225" s="2"/>
    </row>
    <row r="226" spans="1:90" ht="12.75">
      <c r="A226" s="18">
        <v>1425</v>
      </c>
      <c r="B226" s="14" t="s">
        <v>1077</v>
      </c>
      <c r="C226" s="14" t="s">
        <v>558</v>
      </c>
      <c r="D226" s="14" t="s">
        <v>262</v>
      </c>
      <c r="E226" s="14" t="s">
        <v>265</v>
      </c>
      <c r="F226" s="33" t="s">
        <v>227</v>
      </c>
      <c r="G226" s="2"/>
      <c r="H226" s="2" t="s">
        <v>428</v>
      </c>
      <c r="I226" s="2" t="s">
        <v>779</v>
      </c>
      <c r="J226" s="14" t="s">
        <v>326</v>
      </c>
      <c r="K226" s="2" t="s">
        <v>483</v>
      </c>
      <c r="L226" s="14" t="s">
        <v>408</v>
      </c>
      <c r="M226" s="14" t="s">
        <v>944</v>
      </c>
      <c r="N226" s="2" t="s">
        <v>1494</v>
      </c>
      <c r="O226" s="10">
        <v>8</v>
      </c>
      <c r="U226" s="45">
        <f>O226*V226</f>
        <v>528</v>
      </c>
      <c r="V226" s="45">
        <f>12*X226</f>
        <v>66</v>
      </c>
      <c r="X226" s="6">
        <f>5+10/20</f>
        <v>5.5</v>
      </c>
      <c r="AB226" s="45"/>
      <c r="AF226" s="23">
        <f>O226*X226</f>
        <v>44</v>
      </c>
      <c r="AG226">
        <v>5</v>
      </c>
      <c r="AH226">
        <v>10</v>
      </c>
      <c r="AI226">
        <v>0</v>
      </c>
      <c r="AJ226" s="23">
        <f>X226*1</f>
        <v>5.5</v>
      </c>
      <c r="AK226" s="23"/>
      <c r="AU226" s="23"/>
      <c r="AX226" s="23"/>
      <c r="BG226" s="7"/>
      <c r="BL226" s="23"/>
      <c r="BO226" s="23"/>
      <c r="BP226" s="34"/>
      <c r="BQ226" s="38"/>
      <c r="BS226" s="21"/>
      <c r="BW226" s="20">
        <f>U226+(BO226*12*O226)+BT226</f>
        <v>528</v>
      </c>
      <c r="BX226" s="20">
        <f>BW226/O226</f>
        <v>66</v>
      </c>
      <c r="CJ226">
        <f>A226*1</f>
        <v>1425</v>
      </c>
      <c r="CK226" s="2" t="s">
        <v>483</v>
      </c>
      <c r="CL226" t="s">
        <v>1020</v>
      </c>
    </row>
    <row r="227" spans="1:89" ht="12.75">
      <c r="A227" s="18">
        <v>1425</v>
      </c>
      <c r="B227" s="14" t="s">
        <v>1077</v>
      </c>
      <c r="C227" s="14" t="s">
        <v>558</v>
      </c>
      <c r="D227" s="14" t="s">
        <v>262</v>
      </c>
      <c r="E227" s="14" t="s">
        <v>265</v>
      </c>
      <c r="F227" s="33" t="s">
        <v>228</v>
      </c>
      <c r="G227" s="2"/>
      <c r="H227" s="2" t="s">
        <v>428</v>
      </c>
      <c r="I227" s="2" t="s">
        <v>510</v>
      </c>
      <c r="J227" s="14" t="s">
        <v>326</v>
      </c>
      <c r="K227" s="2" t="s">
        <v>435</v>
      </c>
      <c r="L227" s="14" t="s">
        <v>408</v>
      </c>
      <c r="M227" s="14" t="s">
        <v>334</v>
      </c>
      <c r="N227" s="2" t="s">
        <v>1494</v>
      </c>
      <c r="O227" s="10">
        <v>5.5</v>
      </c>
      <c r="U227" s="45">
        <f>O227*V227</f>
        <v>349.79999999999995</v>
      </c>
      <c r="V227" s="45">
        <f>12*X227</f>
        <v>63.599999999999994</v>
      </c>
      <c r="X227" s="6">
        <f>5+6/20</f>
        <v>5.3</v>
      </c>
      <c r="AB227" s="45"/>
      <c r="AF227" s="23">
        <f>O227*X227</f>
        <v>29.15</v>
      </c>
      <c r="AG227">
        <v>5</v>
      </c>
      <c r="AH227">
        <v>6</v>
      </c>
      <c r="AI227">
        <v>0</v>
      </c>
      <c r="AJ227" s="23">
        <f>X227*1</f>
        <v>5.3</v>
      </c>
      <c r="AK227" s="23"/>
      <c r="BG227" s="7"/>
      <c r="BP227" s="34"/>
      <c r="BS227" s="21"/>
      <c r="BW227" s="20">
        <f>U227+(BO227*12*O227)+BT227</f>
        <v>349.79999999999995</v>
      </c>
      <c r="BX227" s="20">
        <f>BW227/O227</f>
        <v>63.599999999999994</v>
      </c>
      <c r="CJ227">
        <f>A227*1</f>
        <v>1425</v>
      </c>
      <c r="CK227" s="2" t="s">
        <v>435</v>
      </c>
    </row>
    <row r="228" spans="1:90" ht="12.75">
      <c r="A228" s="18">
        <v>1425</v>
      </c>
      <c r="B228" s="14" t="s">
        <v>1077</v>
      </c>
      <c r="C228" s="14" t="s">
        <v>558</v>
      </c>
      <c r="D228" s="14" t="s">
        <v>262</v>
      </c>
      <c r="E228" s="14" t="s">
        <v>265</v>
      </c>
      <c r="F228" s="33" t="s">
        <v>229</v>
      </c>
      <c r="G228" s="2"/>
      <c r="H228" s="2" t="s">
        <v>428</v>
      </c>
      <c r="I228" s="2" t="s">
        <v>778</v>
      </c>
      <c r="J228" s="14" t="s">
        <v>326</v>
      </c>
      <c r="K228" s="2" t="s">
        <v>483</v>
      </c>
      <c r="L228" s="14" t="s">
        <v>408</v>
      </c>
      <c r="M228" s="14" t="s">
        <v>944</v>
      </c>
      <c r="N228" s="2" t="s">
        <v>1427</v>
      </c>
      <c r="O228" s="10">
        <v>2</v>
      </c>
      <c r="U228" s="45">
        <f>O228*V228</f>
        <v>132</v>
      </c>
      <c r="V228" s="45">
        <f>12*X228</f>
        <v>66</v>
      </c>
      <c r="X228" s="6">
        <f>5+10/20</f>
        <v>5.5</v>
      </c>
      <c r="AB228" s="45"/>
      <c r="AF228" s="23">
        <f>O228*X228</f>
        <v>11</v>
      </c>
      <c r="AG228">
        <v>5</v>
      </c>
      <c r="AH228">
        <v>10</v>
      </c>
      <c r="AI228">
        <v>0</v>
      </c>
      <c r="AJ228" s="23">
        <f>X228*1</f>
        <v>5.5</v>
      </c>
      <c r="AK228" s="23"/>
      <c r="AY228" s="23">
        <v>5.5</v>
      </c>
      <c r="BG228" s="7"/>
      <c r="BP228" s="34"/>
      <c r="BS228" s="21"/>
      <c r="BW228" s="20">
        <f>U228+(BO228*12*O228)+BT228</f>
        <v>132</v>
      </c>
      <c r="BX228" s="20">
        <f>BW228/O228</f>
        <v>66</v>
      </c>
      <c r="CJ228">
        <f>A228*1</f>
        <v>1425</v>
      </c>
      <c r="CK228" s="2" t="s">
        <v>483</v>
      </c>
      <c r="CL228" t="s">
        <v>1021</v>
      </c>
    </row>
    <row r="229" spans="1:89" ht="12.75">
      <c r="A229" s="18"/>
      <c r="E229" s="14"/>
      <c r="F229" s="33"/>
      <c r="G229" s="2"/>
      <c r="K229" s="2"/>
      <c r="X229" s="6"/>
      <c r="AF229" s="23"/>
      <c r="AK229" s="23"/>
      <c r="BS229" s="21"/>
      <c r="BW229" s="20"/>
      <c r="BX229" s="20"/>
      <c r="CK229" s="2"/>
    </row>
    <row r="230" spans="1:90" ht="12.75">
      <c r="A230" s="18">
        <v>1426</v>
      </c>
      <c r="B230" s="14" t="s">
        <v>952</v>
      </c>
      <c r="C230" s="14" t="s">
        <v>558</v>
      </c>
      <c r="D230" s="14" t="s">
        <v>262</v>
      </c>
      <c r="E230" s="14" t="s">
        <v>266</v>
      </c>
      <c r="F230" s="33" t="s">
        <v>230</v>
      </c>
      <c r="G230" s="2">
        <v>1</v>
      </c>
      <c r="H230" s="2" t="s">
        <v>428</v>
      </c>
      <c r="I230" s="2" t="s">
        <v>710</v>
      </c>
      <c r="J230" s="14" t="s">
        <v>326</v>
      </c>
      <c r="K230" s="2" t="s">
        <v>464</v>
      </c>
      <c r="L230" s="14" t="s">
        <v>408</v>
      </c>
      <c r="M230" s="14" t="s">
        <v>758</v>
      </c>
      <c r="N230" s="2" t="s">
        <v>536</v>
      </c>
      <c r="O230" s="10">
        <v>11</v>
      </c>
      <c r="U230" s="45">
        <f>O230*V230</f>
        <v>990</v>
      </c>
      <c r="V230" s="45">
        <f>12*X230</f>
        <v>90</v>
      </c>
      <c r="W230" s="23">
        <f>(V230*20)/33</f>
        <v>54.54545454545455</v>
      </c>
      <c r="X230" s="6">
        <f>7+10/20</f>
        <v>7.5</v>
      </c>
      <c r="AB230" s="45"/>
      <c r="AF230" s="23">
        <f>O230*X230</f>
        <v>82.5</v>
      </c>
      <c r="AG230">
        <v>7</v>
      </c>
      <c r="AH230">
        <v>10</v>
      </c>
      <c r="AI230">
        <v>0</v>
      </c>
      <c r="AJ230" s="23">
        <f>X230*1</f>
        <v>7.5</v>
      </c>
      <c r="AK230" s="23">
        <f>W230/12</f>
        <v>4.545454545454546</v>
      </c>
      <c r="AX230" s="23"/>
      <c r="AY230" s="23">
        <v>7.5</v>
      </c>
      <c r="BD230" s="7"/>
      <c r="BE230" s="19"/>
      <c r="BF230" s="19"/>
      <c r="BP230" s="34"/>
      <c r="BS230" s="21"/>
      <c r="BW230" s="20">
        <f>U230+(BO230*12*O230)+BT230</f>
        <v>990</v>
      </c>
      <c r="BX230" s="20">
        <f>BW230/O230</f>
        <v>90</v>
      </c>
      <c r="CJ230">
        <f>A230*1</f>
        <v>1426</v>
      </c>
      <c r="CK230" s="2" t="s">
        <v>464</v>
      </c>
      <c r="CL230" t="s">
        <v>1031</v>
      </c>
    </row>
    <row r="231" spans="1:90" ht="12.75">
      <c r="A231" s="18">
        <v>1426</v>
      </c>
      <c r="B231" s="14" t="s">
        <v>952</v>
      </c>
      <c r="C231" s="14" t="s">
        <v>558</v>
      </c>
      <c r="D231" s="14" t="s">
        <v>262</v>
      </c>
      <c r="E231" s="14" t="s">
        <v>266</v>
      </c>
      <c r="F231" s="33" t="s">
        <v>231</v>
      </c>
      <c r="G231" s="2">
        <v>1</v>
      </c>
      <c r="H231" s="2" t="s">
        <v>428</v>
      </c>
      <c r="I231" s="2" t="s">
        <v>714</v>
      </c>
      <c r="J231" s="14" t="s">
        <v>326</v>
      </c>
      <c r="K231" s="2" t="s">
        <v>458</v>
      </c>
      <c r="L231" s="14" t="s">
        <v>410</v>
      </c>
      <c r="M231" s="14" t="s">
        <v>745</v>
      </c>
      <c r="N231" s="2" t="s">
        <v>534</v>
      </c>
      <c r="O231" s="10">
        <v>11</v>
      </c>
      <c r="U231" s="45">
        <f>O231*V231</f>
        <v>990</v>
      </c>
      <c r="V231" s="45">
        <f>12*X231</f>
        <v>90</v>
      </c>
      <c r="W231" s="23">
        <f>(V231*20)/33</f>
        <v>54.54545454545455</v>
      </c>
      <c r="X231" s="6">
        <f>7+10/20</f>
        <v>7.5</v>
      </c>
      <c r="AB231" s="45"/>
      <c r="AF231" s="23">
        <f>O231*X231</f>
        <v>82.5</v>
      </c>
      <c r="AG231">
        <v>7</v>
      </c>
      <c r="AH231">
        <v>10</v>
      </c>
      <c r="AI231">
        <v>0</v>
      </c>
      <c r="AJ231" s="23">
        <f>X231*1</f>
        <v>7.5</v>
      </c>
      <c r="AK231" s="23">
        <f>W231/12</f>
        <v>4.545454545454546</v>
      </c>
      <c r="BB231" s="23"/>
      <c r="BD231" s="7"/>
      <c r="BE231" s="19"/>
      <c r="BF231" s="19"/>
      <c r="BP231" s="34"/>
      <c r="BS231" s="21"/>
      <c r="BW231" s="20">
        <f>U231+(BO231*12*O231)+BT231</f>
        <v>990</v>
      </c>
      <c r="BX231" s="20">
        <f>BW231/O231</f>
        <v>90</v>
      </c>
      <c r="CJ231">
        <f>A231*1</f>
        <v>1426</v>
      </c>
      <c r="CK231" s="2" t="s">
        <v>458</v>
      </c>
      <c r="CL231" t="s">
        <v>1031</v>
      </c>
    </row>
    <row r="232" spans="1:90" ht="12.75">
      <c r="A232" s="18">
        <v>1426</v>
      </c>
      <c r="B232" s="14" t="s">
        <v>952</v>
      </c>
      <c r="C232" s="14" t="s">
        <v>558</v>
      </c>
      <c r="D232" s="14" t="s">
        <v>262</v>
      </c>
      <c r="E232" s="14" t="s">
        <v>266</v>
      </c>
      <c r="F232" s="33" t="s">
        <v>232</v>
      </c>
      <c r="G232" s="2">
        <v>1</v>
      </c>
      <c r="H232" s="2" t="s">
        <v>428</v>
      </c>
      <c r="I232" s="2" t="s">
        <v>728</v>
      </c>
      <c r="J232" s="14" t="s">
        <v>326</v>
      </c>
      <c r="K232" s="2" t="s">
        <v>469</v>
      </c>
      <c r="L232" s="14" t="s">
        <v>410</v>
      </c>
      <c r="M232" s="14" t="s">
        <v>1460</v>
      </c>
      <c r="N232" s="2" t="s">
        <v>534</v>
      </c>
      <c r="O232" s="10">
        <v>11</v>
      </c>
      <c r="U232" s="45">
        <f>O232*V232</f>
        <v>594</v>
      </c>
      <c r="V232" s="45">
        <f>12*X232</f>
        <v>54</v>
      </c>
      <c r="W232" s="23">
        <f>(V232*20)/36</f>
        <v>30</v>
      </c>
      <c r="X232" s="6">
        <f>4+10/20</f>
        <v>4.5</v>
      </c>
      <c r="AB232" s="45"/>
      <c r="AF232" s="23">
        <f>O232*X232</f>
        <v>49.5</v>
      </c>
      <c r="AG232">
        <v>4</v>
      </c>
      <c r="AH232">
        <v>10</v>
      </c>
      <c r="AI232">
        <v>0</v>
      </c>
      <c r="AJ232" s="23">
        <f>X232*1</f>
        <v>4.5</v>
      </c>
      <c r="AK232" s="23">
        <f>W232/12</f>
        <v>2.5</v>
      </c>
      <c r="AX232" s="23"/>
      <c r="BD232" s="7"/>
      <c r="BE232" s="19"/>
      <c r="BF232" s="19"/>
      <c r="BP232" s="34"/>
      <c r="BS232" s="21"/>
      <c r="BW232" s="20">
        <f>U232+(BO232*12*O232)+BT232</f>
        <v>594</v>
      </c>
      <c r="BX232" s="20">
        <f>BW232/O232</f>
        <v>54</v>
      </c>
      <c r="CJ232">
        <f>A232*1</f>
        <v>1426</v>
      </c>
      <c r="CK232" s="2" t="s">
        <v>469</v>
      </c>
      <c r="CL232" t="s">
        <v>1035</v>
      </c>
    </row>
    <row r="233" spans="1:89" ht="12.75">
      <c r="A233" s="18">
        <v>1426</v>
      </c>
      <c r="B233" s="14" t="s">
        <v>952</v>
      </c>
      <c r="C233" s="14" t="s">
        <v>558</v>
      </c>
      <c r="D233" s="14" t="s">
        <v>262</v>
      </c>
      <c r="E233" s="14" t="s">
        <v>266</v>
      </c>
      <c r="F233" s="33" t="s">
        <v>235</v>
      </c>
      <c r="G233" s="2">
        <v>1</v>
      </c>
      <c r="H233" s="2" t="s">
        <v>428</v>
      </c>
      <c r="I233" s="2" t="s">
        <v>1233</v>
      </c>
      <c r="J233" s="14" t="s">
        <v>326</v>
      </c>
      <c r="K233" s="2" t="s">
        <v>492</v>
      </c>
      <c r="L233" s="14" t="s">
        <v>408</v>
      </c>
      <c r="M233" s="14" t="s">
        <v>1179</v>
      </c>
      <c r="N233" s="2" t="s">
        <v>567</v>
      </c>
      <c r="O233" s="10">
        <v>1</v>
      </c>
      <c r="U233" s="45">
        <f>O233*V233</f>
        <v>60.599999999999994</v>
      </c>
      <c r="V233" s="45">
        <f>12*X233</f>
        <v>60.599999999999994</v>
      </c>
      <c r="X233" s="6">
        <f>5+1/20</f>
        <v>5.05</v>
      </c>
      <c r="AB233" s="45"/>
      <c r="AC233">
        <v>5</v>
      </c>
      <c r="AD233">
        <v>1</v>
      </c>
      <c r="AE233">
        <v>0</v>
      </c>
      <c r="AF233" s="23">
        <f>AC233+AD233/20+AE233/240</f>
        <v>5.05</v>
      </c>
      <c r="AG233">
        <v>5</v>
      </c>
      <c r="AH233">
        <v>1</v>
      </c>
      <c r="AI233">
        <v>0</v>
      </c>
      <c r="AJ233" s="23">
        <f>X233*1</f>
        <v>5.05</v>
      </c>
      <c r="AK233" s="23"/>
      <c r="AX233" s="23">
        <v>5.05</v>
      </c>
      <c r="BD233" s="7"/>
      <c r="BE233" s="23"/>
      <c r="BF233" s="19"/>
      <c r="BP233" s="34"/>
      <c r="BS233" s="21"/>
      <c r="BW233" s="20">
        <f>U233+(BO233*12*O233)+BT233</f>
        <v>60.599999999999994</v>
      </c>
      <c r="BX233" s="20">
        <f>BW233/O233</f>
        <v>60.599999999999994</v>
      </c>
      <c r="CJ233">
        <f>A233*1</f>
        <v>1426</v>
      </c>
      <c r="CK233" s="2" t="s">
        <v>492</v>
      </c>
    </row>
    <row r="234" spans="1:89" ht="12.75">
      <c r="A234" s="18">
        <v>1426</v>
      </c>
      <c r="B234" s="14" t="s">
        <v>952</v>
      </c>
      <c r="C234" s="14" t="s">
        <v>558</v>
      </c>
      <c r="D234" s="14" t="s">
        <v>262</v>
      </c>
      <c r="E234" s="14" t="s">
        <v>266</v>
      </c>
      <c r="F234" s="33" t="s">
        <v>236</v>
      </c>
      <c r="G234" s="2">
        <v>1</v>
      </c>
      <c r="H234" s="2" t="s">
        <v>428</v>
      </c>
      <c r="I234" s="2" t="s">
        <v>385</v>
      </c>
      <c r="J234" s="14" t="s">
        <v>326</v>
      </c>
      <c r="K234" s="2" t="s">
        <v>432</v>
      </c>
      <c r="L234" s="14" t="s">
        <v>410</v>
      </c>
      <c r="M234" s="14" t="s">
        <v>327</v>
      </c>
      <c r="N234" s="2" t="s">
        <v>288</v>
      </c>
      <c r="O234" s="10">
        <v>1</v>
      </c>
      <c r="U234" s="45">
        <f>O234*V234</f>
        <v>47.400000000000006</v>
      </c>
      <c r="V234" s="45">
        <f>12*X234</f>
        <v>47.400000000000006</v>
      </c>
      <c r="X234" s="6">
        <f>3+19/20</f>
        <v>3.95</v>
      </c>
      <c r="AB234" s="45"/>
      <c r="AC234">
        <v>3</v>
      </c>
      <c r="AD234">
        <v>19</v>
      </c>
      <c r="AE234">
        <v>0</v>
      </c>
      <c r="AF234" s="23">
        <f>AC234+AD234/20+AE234/240</f>
        <v>3.95</v>
      </c>
      <c r="AG234">
        <v>3</v>
      </c>
      <c r="AH234">
        <v>19</v>
      </c>
      <c r="AI234">
        <v>0</v>
      </c>
      <c r="AJ234" s="23">
        <f>X234*1</f>
        <v>3.95</v>
      </c>
      <c r="AK234" s="23"/>
      <c r="BB234" s="23">
        <v>3.95</v>
      </c>
      <c r="BF234" s="23"/>
      <c r="BG234" s="23"/>
      <c r="BS234" s="21"/>
      <c r="BW234" s="20">
        <f>U234+(BO234*12*O234)+BT234</f>
        <v>47.400000000000006</v>
      </c>
      <c r="BX234" s="20">
        <f>BW234/O234</f>
        <v>47.400000000000006</v>
      </c>
      <c r="CJ234">
        <f>A234*1</f>
        <v>1426</v>
      </c>
      <c r="CK234" s="2" t="s">
        <v>432</v>
      </c>
    </row>
    <row r="235" spans="1:89" ht="12.75">
      <c r="A235" s="18"/>
      <c r="E235" s="14"/>
      <c r="F235" s="33"/>
      <c r="G235" s="2"/>
      <c r="K235" s="2"/>
      <c r="U235" s="45"/>
      <c r="V235" s="45"/>
      <c r="X235" s="6"/>
      <c r="AB235" s="45"/>
      <c r="AF235" s="23"/>
      <c r="AJ235" s="23"/>
      <c r="AK235" s="23"/>
      <c r="BG235" s="23"/>
      <c r="BP235" s="34"/>
      <c r="BS235" s="21"/>
      <c r="CK235" s="2"/>
    </row>
    <row r="236" spans="1:89" ht="12.75">
      <c r="A236" s="18">
        <v>1426</v>
      </c>
      <c r="B236" s="14" t="s">
        <v>952</v>
      </c>
      <c r="C236" s="14" t="s">
        <v>558</v>
      </c>
      <c r="D236" s="14" t="s">
        <v>262</v>
      </c>
      <c r="E236" s="14" t="s">
        <v>266</v>
      </c>
      <c r="F236" s="33" t="s">
        <v>237</v>
      </c>
      <c r="G236" s="2">
        <v>2</v>
      </c>
      <c r="H236" s="2" t="s">
        <v>428</v>
      </c>
      <c r="I236" s="2" t="s">
        <v>1227</v>
      </c>
      <c r="J236" s="14" t="s">
        <v>326</v>
      </c>
      <c r="K236" s="2" t="s">
        <v>490</v>
      </c>
      <c r="L236" s="14" t="s">
        <v>410</v>
      </c>
      <c r="M236" s="14" t="s">
        <v>1177</v>
      </c>
      <c r="N236" s="2" t="s">
        <v>636</v>
      </c>
      <c r="O236" s="10">
        <v>1</v>
      </c>
      <c r="U236" s="45">
        <f aca="true" t="shared" si="90" ref="U236:U242">O236*V236</f>
        <v>44.400000000000006</v>
      </c>
      <c r="V236" s="45">
        <f aca="true" t="shared" si="91" ref="V236:V242">12*X236</f>
        <v>44.400000000000006</v>
      </c>
      <c r="X236" s="6">
        <f>3+14/20</f>
        <v>3.7</v>
      </c>
      <c r="AB236" s="45"/>
      <c r="AC236">
        <v>3</v>
      </c>
      <c r="AD236">
        <v>14</v>
      </c>
      <c r="AE236">
        <v>0</v>
      </c>
      <c r="AF236" s="23">
        <f aca="true" t="shared" si="92" ref="AF236:AF242">AC236+AD236/20+AE236/240</f>
        <v>3.7</v>
      </c>
      <c r="AG236">
        <v>3</v>
      </c>
      <c r="AH236">
        <v>14</v>
      </c>
      <c r="AI236">
        <v>0</v>
      </c>
      <c r="AJ236" s="23">
        <f aca="true" t="shared" si="93" ref="AJ236:AJ242">X236*1</f>
        <v>3.7</v>
      </c>
      <c r="AK236" s="23"/>
      <c r="AU236" s="7"/>
      <c r="AX236" s="23">
        <v>3.7</v>
      </c>
      <c r="BG236" s="23"/>
      <c r="BP236" s="34"/>
      <c r="BS236" s="21"/>
      <c r="BW236" s="20">
        <f aca="true" t="shared" si="94" ref="BW236:BW242">U236+(BO236*12*O236)+BT236</f>
        <v>44.400000000000006</v>
      </c>
      <c r="BX236" s="20">
        <f aca="true" t="shared" si="95" ref="BX236:BX242">BW236/O236</f>
        <v>44.400000000000006</v>
      </c>
      <c r="CJ236">
        <f aca="true" t="shared" si="96" ref="CJ236:CJ244">A236*1</f>
        <v>1426</v>
      </c>
      <c r="CK236" s="2" t="s">
        <v>490</v>
      </c>
    </row>
    <row r="237" spans="1:89" ht="12.75">
      <c r="A237" s="18">
        <v>1426</v>
      </c>
      <c r="B237" s="14" t="s">
        <v>952</v>
      </c>
      <c r="C237" s="14" t="s">
        <v>558</v>
      </c>
      <c r="D237" s="14" t="s">
        <v>262</v>
      </c>
      <c r="E237" s="14" t="s">
        <v>266</v>
      </c>
      <c r="F237" s="33" t="s">
        <v>238</v>
      </c>
      <c r="G237" s="2">
        <v>2</v>
      </c>
      <c r="H237" s="2" t="s">
        <v>428</v>
      </c>
      <c r="I237" s="2" t="s">
        <v>814</v>
      </c>
      <c r="J237" s="14" t="s">
        <v>326</v>
      </c>
      <c r="K237" s="2" t="s">
        <v>477</v>
      </c>
      <c r="L237" s="14" t="s">
        <v>410</v>
      </c>
      <c r="M237" s="14" t="s">
        <v>755</v>
      </c>
      <c r="N237" s="2" t="s">
        <v>1368</v>
      </c>
      <c r="O237" s="10">
        <v>1</v>
      </c>
      <c r="U237" s="45">
        <f t="shared" si="90"/>
        <v>47.400000000000006</v>
      </c>
      <c r="V237" s="45">
        <f t="shared" si="91"/>
        <v>47.400000000000006</v>
      </c>
      <c r="X237" s="6">
        <f>3+19/20</f>
        <v>3.95</v>
      </c>
      <c r="AB237" s="45"/>
      <c r="AC237">
        <v>3</v>
      </c>
      <c r="AD237">
        <v>19</v>
      </c>
      <c r="AE237">
        <v>0</v>
      </c>
      <c r="AF237" s="23">
        <f t="shared" si="92"/>
        <v>3.95</v>
      </c>
      <c r="AG237">
        <v>3</v>
      </c>
      <c r="AH237">
        <v>19</v>
      </c>
      <c r="AI237">
        <v>0</v>
      </c>
      <c r="AJ237" s="23">
        <f t="shared" si="93"/>
        <v>3.95</v>
      </c>
      <c r="AK237" s="23"/>
      <c r="AY237" s="7"/>
      <c r="AZ237" s="19"/>
      <c r="BE237" s="23">
        <v>3.95</v>
      </c>
      <c r="BG237" s="23"/>
      <c r="BP237" s="34"/>
      <c r="BS237" s="21"/>
      <c r="BW237" s="20">
        <f t="shared" si="94"/>
        <v>47.400000000000006</v>
      </c>
      <c r="BX237" s="20">
        <f t="shared" si="95"/>
        <v>47.400000000000006</v>
      </c>
      <c r="CJ237">
        <f t="shared" si="96"/>
        <v>1426</v>
      </c>
      <c r="CK237" s="2" t="s">
        <v>477</v>
      </c>
    </row>
    <row r="238" spans="1:89" ht="12.75">
      <c r="A238" s="18">
        <v>1426</v>
      </c>
      <c r="B238" s="14" t="s">
        <v>952</v>
      </c>
      <c r="C238" s="14" t="s">
        <v>558</v>
      </c>
      <c r="D238" s="14" t="s">
        <v>262</v>
      </c>
      <c r="E238" s="14" t="s">
        <v>266</v>
      </c>
      <c r="F238" s="33" t="s">
        <v>239</v>
      </c>
      <c r="G238" s="2">
        <v>2</v>
      </c>
      <c r="H238" s="2" t="s">
        <v>428</v>
      </c>
      <c r="I238" s="2" t="s">
        <v>1126</v>
      </c>
      <c r="J238" s="14" t="s">
        <v>326</v>
      </c>
      <c r="K238" s="2" t="s">
        <v>487</v>
      </c>
      <c r="L238" s="14" t="s">
        <v>410</v>
      </c>
      <c r="M238" s="14" t="s">
        <v>1107</v>
      </c>
      <c r="N238" s="2" t="s">
        <v>1478</v>
      </c>
      <c r="O238" s="10">
        <v>1</v>
      </c>
      <c r="U238" s="45">
        <f t="shared" si="90"/>
        <v>45.599999999999994</v>
      </c>
      <c r="V238" s="45">
        <f t="shared" si="91"/>
        <v>45.599999999999994</v>
      </c>
      <c r="X238" s="6">
        <f>3+16/20</f>
        <v>3.8</v>
      </c>
      <c r="AB238" s="45"/>
      <c r="AC238">
        <v>3</v>
      </c>
      <c r="AD238">
        <v>16</v>
      </c>
      <c r="AE238">
        <v>0</v>
      </c>
      <c r="AF238" s="23">
        <f t="shared" si="92"/>
        <v>3.8</v>
      </c>
      <c r="AG238">
        <v>3</v>
      </c>
      <c r="AH238">
        <v>16</v>
      </c>
      <c r="AI238">
        <v>0</v>
      </c>
      <c r="AJ238" s="23">
        <f t="shared" si="93"/>
        <v>3.8</v>
      </c>
      <c r="AK238" s="23"/>
      <c r="AY238" s="19"/>
      <c r="AZ238" s="7"/>
      <c r="BC238" s="23"/>
      <c r="BG238" s="23">
        <v>3.8</v>
      </c>
      <c r="BP238" s="34"/>
      <c r="BS238" s="21"/>
      <c r="BW238" s="20">
        <f t="shared" si="94"/>
        <v>45.599999999999994</v>
      </c>
      <c r="BX238" s="20">
        <f t="shared" si="95"/>
        <v>45.599999999999994</v>
      </c>
      <c r="CJ238">
        <f t="shared" si="96"/>
        <v>1426</v>
      </c>
      <c r="CK238" s="2" t="s">
        <v>487</v>
      </c>
    </row>
    <row r="239" spans="1:90" ht="12.75">
      <c r="A239" s="18">
        <v>1426</v>
      </c>
      <c r="B239" s="14" t="s">
        <v>952</v>
      </c>
      <c r="C239" s="14" t="s">
        <v>558</v>
      </c>
      <c r="D239" s="14" t="s">
        <v>262</v>
      </c>
      <c r="E239" s="14" t="s">
        <v>266</v>
      </c>
      <c r="F239" s="33" t="s">
        <v>240</v>
      </c>
      <c r="G239" s="2">
        <v>2</v>
      </c>
      <c r="H239" s="2" t="s">
        <v>1058</v>
      </c>
      <c r="I239" s="2" t="s">
        <v>1242</v>
      </c>
      <c r="J239" s="14" t="s">
        <v>326</v>
      </c>
      <c r="K239" s="2" t="s">
        <v>1062</v>
      </c>
      <c r="L239" s="14" t="s">
        <v>1057</v>
      </c>
      <c r="M239" s="14" t="s">
        <v>1177</v>
      </c>
      <c r="N239" s="2" t="s">
        <v>762</v>
      </c>
      <c r="O239" s="10">
        <v>1</v>
      </c>
      <c r="U239" s="45">
        <f t="shared" si="90"/>
        <v>28.550000000000004</v>
      </c>
      <c r="V239" s="45">
        <f t="shared" si="91"/>
        <v>28.550000000000004</v>
      </c>
      <c r="X239" s="6">
        <f>2+7/20+7/240</f>
        <v>2.379166666666667</v>
      </c>
      <c r="AB239" s="45"/>
      <c r="AC239">
        <v>2</v>
      </c>
      <c r="AD239">
        <v>7</v>
      </c>
      <c r="AE239">
        <v>7</v>
      </c>
      <c r="AF239" s="23">
        <f t="shared" si="92"/>
        <v>2.379166666666667</v>
      </c>
      <c r="AG239">
        <v>2</v>
      </c>
      <c r="AH239">
        <v>7</v>
      </c>
      <c r="AI239">
        <v>7</v>
      </c>
      <c r="AJ239" s="23">
        <f t="shared" si="93"/>
        <v>2.379166666666667</v>
      </c>
      <c r="AK239" s="23"/>
      <c r="BB239" s="7"/>
      <c r="BG239" s="23">
        <v>2.379166666666667</v>
      </c>
      <c r="BP239" s="34"/>
      <c r="BS239" s="21"/>
      <c r="BW239" s="20">
        <f t="shared" si="94"/>
        <v>28.550000000000004</v>
      </c>
      <c r="BX239" s="20">
        <f t="shared" si="95"/>
        <v>28.550000000000004</v>
      </c>
      <c r="CJ239">
        <f t="shared" si="96"/>
        <v>1426</v>
      </c>
      <c r="CK239" s="2" t="s">
        <v>1062</v>
      </c>
      <c r="CL239" t="s">
        <v>1175</v>
      </c>
    </row>
    <row r="240" spans="1:90" ht="12.75">
      <c r="A240" s="18">
        <v>1426</v>
      </c>
      <c r="B240" s="14" t="s">
        <v>952</v>
      </c>
      <c r="C240" s="14" t="s">
        <v>558</v>
      </c>
      <c r="D240" s="14" t="s">
        <v>262</v>
      </c>
      <c r="E240" s="14" t="s">
        <v>266</v>
      </c>
      <c r="F240" s="33" t="s">
        <v>241</v>
      </c>
      <c r="G240" s="2">
        <v>2</v>
      </c>
      <c r="H240" s="2" t="s">
        <v>1058</v>
      </c>
      <c r="I240" s="2" t="s">
        <v>1243</v>
      </c>
      <c r="J240" s="14" t="s">
        <v>1265</v>
      </c>
      <c r="K240" s="2" t="s">
        <v>1061</v>
      </c>
      <c r="L240" s="14" t="s">
        <v>1057</v>
      </c>
      <c r="M240" s="14" t="s">
        <v>1177</v>
      </c>
      <c r="N240" s="2" t="s">
        <v>248</v>
      </c>
      <c r="O240" s="10">
        <v>1</v>
      </c>
      <c r="U240" s="45">
        <f t="shared" si="90"/>
        <v>18.8</v>
      </c>
      <c r="V240" s="45">
        <f t="shared" si="91"/>
        <v>18.8</v>
      </c>
      <c r="X240" s="6">
        <f>1+11/20+4/240</f>
        <v>1.5666666666666667</v>
      </c>
      <c r="AB240" s="45"/>
      <c r="AC240">
        <v>1</v>
      </c>
      <c r="AD240">
        <v>11</v>
      </c>
      <c r="AE240">
        <v>4</v>
      </c>
      <c r="AF240" s="23">
        <f t="shared" si="92"/>
        <v>1.5666666666666667</v>
      </c>
      <c r="AG240">
        <v>1</v>
      </c>
      <c r="AH240">
        <v>11</v>
      </c>
      <c r="AI240">
        <v>4</v>
      </c>
      <c r="AJ240" s="23">
        <f t="shared" si="93"/>
        <v>1.5666666666666667</v>
      </c>
      <c r="AK240" s="23"/>
      <c r="AL240" s="23">
        <v>1.5666666666666667</v>
      </c>
      <c r="BG240" s="7"/>
      <c r="BP240" s="34"/>
      <c r="BS240" s="21"/>
      <c r="BW240" s="20">
        <f t="shared" si="94"/>
        <v>18.8</v>
      </c>
      <c r="BX240" s="20">
        <f t="shared" si="95"/>
        <v>18.8</v>
      </c>
      <c r="CJ240">
        <f t="shared" si="96"/>
        <v>1426</v>
      </c>
      <c r="CK240" s="2" t="s">
        <v>1061</v>
      </c>
      <c r="CL240" t="s">
        <v>1176</v>
      </c>
    </row>
    <row r="241" spans="1:90" ht="12.75">
      <c r="A241" s="18">
        <v>1426</v>
      </c>
      <c r="B241" s="14" t="s">
        <v>952</v>
      </c>
      <c r="C241" s="14" t="s">
        <v>558</v>
      </c>
      <c r="D241" s="14" t="s">
        <v>262</v>
      </c>
      <c r="E241" s="14" t="s">
        <v>266</v>
      </c>
      <c r="F241" s="33" t="s">
        <v>242</v>
      </c>
      <c r="G241" s="2">
        <v>2</v>
      </c>
      <c r="H241" s="2" t="s">
        <v>1058</v>
      </c>
      <c r="I241" s="2" t="s">
        <v>1243</v>
      </c>
      <c r="J241" s="14" t="s">
        <v>1265</v>
      </c>
      <c r="K241" s="2" t="s">
        <v>1061</v>
      </c>
      <c r="L241" s="14" t="s">
        <v>1057</v>
      </c>
      <c r="M241" s="14" t="s">
        <v>1177</v>
      </c>
      <c r="N241" s="2" t="s">
        <v>15</v>
      </c>
      <c r="O241" s="10">
        <v>1</v>
      </c>
      <c r="U241" s="45">
        <f t="shared" si="90"/>
        <v>18.2</v>
      </c>
      <c r="V241" s="45">
        <f t="shared" si="91"/>
        <v>18.2</v>
      </c>
      <c r="X241" s="6">
        <f>1+10/20+4/240</f>
        <v>1.5166666666666666</v>
      </c>
      <c r="AB241" s="45"/>
      <c r="AC241">
        <v>1</v>
      </c>
      <c r="AD241">
        <v>10</v>
      </c>
      <c r="AE241">
        <v>4</v>
      </c>
      <c r="AF241" s="23">
        <f t="shared" si="92"/>
        <v>1.5166666666666666</v>
      </c>
      <c r="AG241">
        <v>1</v>
      </c>
      <c r="AH241">
        <v>10</v>
      </c>
      <c r="AI241">
        <v>4</v>
      </c>
      <c r="AJ241" s="23">
        <f t="shared" si="93"/>
        <v>1.5166666666666666</v>
      </c>
      <c r="AK241" s="23"/>
      <c r="AL241" s="23">
        <v>1.5166666666666666</v>
      </c>
      <c r="AX241" s="23"/>
      <c r="BG241" s="7"/>
      <c r="BP241" s="34"/>
      <c r="BS241" s="21"/>
      <c r="BW241" s="20">
        <f t="shared" si="94"/>
        <v>18.2</v>
      </c>
      <c r="BX241" s="20">
        <f t="shared" si="95"/>
        <v>18.2</v>
      </c>
      <c r="CJ241">
        <f t="shared" si="96"/>
        <v>1426</v>
      </c>
      <c r="CK241" s="2" t="s">
        <v>1061</v>
      </c>
      <c r="CL241" t="s">
        <v>1176</v>
      </c>
    </row>
    <row r="242" spans="1:89" ht="12.75">
      <c r="A242" s="18">
        <v>1426</v>
      </c>
      <c r="B242" s="14" t="s">
        <v>952</v>
      </c>
      <c r="C242" s="14" t="s">
        <v>558</v>
      </c>
      <c r="D242" s="14" t="s">
        <v>262</v>
      </c>
      <c r="E242" s="14" t="s">
        <v>266</v>
      </c>
      <c r="F242" s="33" t="s">
        <v>243</v>
      </c>
      <c r="G242" s="2">
        <v>2</v>
      </c>
      <c r="H242" s="2" t="s">
        <v>1058</v>
      </c>
      <c r="I242" s="2" t="s">
        <v>381</v>
      </c>
      <c r="J242" s="14" t="s">
        <v>326</v>
      </c>
      <c r="K242" s="2" t="s">
        <v>1059</v>
      </c>
      <c r="L242" s="14" t="s">
        <v>1057</v>
      </c>
      <c r="M242" s="14" t="s">
        <v>327</v>
      </c>
      <c r="N242" s="2" t="s">
        <v>810</v>
      </c>
      <c r="O242" s="10">
        <v>1</v>
      </c>
      <c r="U242" s="45">
        <f t="shared" si="90"/>
        <v>21.8</v>
      </c>
      <c r="V242" s="45">
        <f t="shared" si="91"/>
        <v>21.8</v>
      </c>
      <c r="X242" s="6">
        <f>1+16/20+4/240</f>
        <v>1.8166666666666667</v>
      </c>
      <c r="AB242" s="45"/>
      <c r="AC242">
        <v>1</v>
      </c>
      <c r="AD242">
        <v>16</v>
      </c>
      <c r="AE242">
        <v>4</v>
      </c>
      <c r="AF242" s="23">
        <f t="shared" si="92"/>
        <v>1.8166666666666667</v>
      </c>
      <c r="AG242">
        <v>1</v>
      </c>
      <c r="AH242">
        <v>16</v>
      </c>
      <c r="AI242">
        <v>4</v>
      </c>
      <c r="AJ242" s="23">
        <f t="shared" si="93"/>
        <v>1.8166666666666667</v>
      </c>
      <c r="AK242" s="23"/>
      <c r="AW242" s="7"/>
      <c r="BG242" s="23">
        <v>1.8166666666666667</v>
      </c>
      <c r="BP242" s="34"/>
      <c r="BS242" s="21"/>
      <c r="BW242" s="20">
        <f t="shared" si="94"/>
        <v>21.8</v>
      </c>
      <c r="BX242" s="20">
        <f t="shared" si="95"/>
        <v>21.8</v>
      </c>
      <c r="CJ242">
        <f t="shared" si="96"/>
        <v>1426</v>
      </c>
      <c r="CK242" s="2" t="s">
        <v>1059</v>
      </c>
    </row>
    <row r="243" spans="1:90" ht="12.75">
      <c r="A243" s="18">
        <v>1426</v>
      </c>
      <c r="B243" s="14" t="s">
        <v>952</v>
      </c>
      <c r="C243" s="14" t="s">
        <v>558</v>
      </c>
      <c r="D243" s="14" t="s">
        <v>262</v>
      </c>
      <c r="E243" s="14" t="s">
        <v>266</v>
      </c>
      <c r="F243" s="33" t="s">
        <v>233</v>
      </c>
      <c r="G243" s="2">
        <v>2</v>
      </c>
      <c r="H243" s="2" t="s">
        <v>502</v>
      </c>
      <c r="I243" s="2" t="s">
        <v>1219</v>
      </c>
      <c r="J243" s="14" t="s">
        <v>326</v>
      </c>
      <c r="K243" s="2" t="s">
        <v>430</v>
      </c>
      <c r="L243" s="14" t="s">
        <v>410</v>
      </c>
      <c r="M243" s="14" t="s">
        <v>1177</v>
      </c>
      <c r="N243" s="2" t="s">
        <v>3</v>
      </c>
      <c r="P243" s="10" t="s">
        <v>3</v>
      </c>
      <c r="W243" s="23">
        <f>AK243*12</f>
        <v>28</v>
      </c>
      <c r="X243" s="6"/>
      <c r="AB243" s="45"/>
      <c r="AF243" s="23"/>
      <c r="AK243" s="23">
        <f>2+4/12</f>
        <v>2.3333333333333335</v>
      </c>
      <c r="BP243" s="34"/>
      <c r="BS243" s="21"/>
      <c r="BW243" s="20"/>
      <c r="BX243" s="20"/>
      <c r="CJ243">
        <f t="shared" si="96"/>
        <v>1426</v>
      </c>
      <c r="CK243" s="2" t="s">
        <v>430</v>
      </c>
      <c r="CL243" t="s">
        <v>1042</v>
      </c>
    </row>
    <row r="244" spans="1:90" ht="12.75">
      <c r="A244" s="18">
        <v>1426</v>
      </c>
      <c r="B244" s="14" t="s">
        <v>952</v>
      </c>
      <c r="C244" s="14" t="s">
        <v>558</v>
      </c>
      <c r="D244" s="14" t="s">
        <v>262</v>
      </c>
      <c r="E244" s="14" t="s">
        <v>266</v>
      </c>
      <c r="F244" s="33" t="s">
        <v>234</v>
      </c>
      <c r="G244" s="2">
        <v>2</v>
      </c>
      <c r="H244" s="2" t="s">
        <v>428</v>
      </c>
      <c r="I244" s="2" t="s">
        <v>835</v>
      </c>
      <c r="J244" s="14" t="s">
        <v>326</v>
      </c>
      <c r="K244" s="2" t="s">
        <v>471</v>
      </c>
      <c r="L244" s="14" t="s">
        <v>410</v>
      </c>
      <c r="M244" s="14" t="s">
        <v>747</v>
      </c>
      <c r="N244" s="2" t="s">
        <v>1304</v>
      </c>
      <c r="O244" s="10">
        <v>50</v>
      </c>
      <c r="U244" s="45">
        <f>O244*V244</f>
        <v>2279.9999999999995</v>
      </c>
      <c r="V244" s="45">
        <f>12*X244</f>
        <v>45.599999999999994</v>
      </c>
      <c r="X244" s="6">
        <f>3+16/20</f>
        <v>3.8</v>
      </c>
      <c r="AB244" s="45"/>
      <c r="AF244" s="23">
        <f>O244*X244</f>
        <v>190</v>
      </c>
      <c r="AG244">
        <v>3</v>
      </c>
      <c r="AH244">
        <v>16</v>
      </c>
      <c r="AI244">
        <v>0</v>
      </c>
      <c r="AJ244" s="23">
        <f>X244*1</f>
        <v>3.8</v>
      </c>
      <c r="AK244" s="23"/>
      <c r="AX244" s="23"/>
      <c r="BC244" s="23">
        <v>3.8</v>
      </c>
      <c r="BP244" s="34"/>
      <c r="BS244" s="21"/>
      <c r="BW244" s="20">
        <f>U244+(BO244*12*O244)+BT244</f>
        <v>2279.9999999999995</v>
      </c>
      <c r="BX244" s="20">
        <f>BW244/O244</f>
        <v>45.599999999999994</v>
      </c>
      <c r="CJ244">
        <f t="shared" si="96"/>
        <v>1426</v>
      </c>
      <c r="CK244" s="2" t="s">
        <v>471</v>
      </c>
      <c r="CL244" t="s">
        <v>1052</v>
      </c>
    </row>
    <row r="245" spans="1:89" ht="12.75">
      <c r="A245" s="18"/>
      <c r="E245" s="14"/>
      <c r="F245" s="33"/>
      <c r="G245" s="2"/>
      <c r="K245" s="2"/>
      <c r="U245" s="45"/>
      <c r="V245" s="45"/>
      <c r="X245" s="6"/>
      <c r="AB245" s="45"/>
      <c r="AK245" s="23"/>
      <c r="BB245" s="23"/>
      <c r="BP245" s="34"/>
      <c r="BS245" s="21"/>
      <c r="BW245" s="20"/>
      <c r="BX245" s="20"/>
      <c r="CK245" s="2"/>
    </row>
    <row r="246" spans="1:90" ht="12.75">
      <c r="A246" s="18">
        <v>1426</v>
      </c>
      <c r="B246" s="14" t="s">
        <v>952</v>
      </c>
      <c r="C246" s="14" t="s">
        <v>558</v>
      </c>
      <c r="D246" s="14" t="s">
        <v>262</v>
      </c>
      <c r="E246" s="14" t="s">
        <v>252</v>
      </c>
      <c r="F246" s="33" t="s">
        <v>244</v>
      </c>
      <c r="G246" s="2"/>
      <c r="H246" s="2" t="s">
        <v>428</v>
      </c>
      <c r="I246" s="2" t="s">
        <v>839</v>
      </c>
      <c r="J246" s="14" t="s">
        <v>326</v>
      </c>
      <c r="K246" s="2" t="s">
        <v>473</v>
      </c>
      <c r="L246" s="14" t="s">
        <v>410</v>
      </c>
      <c r="M246" s="14" t="s">
        <v>745</v>
      </c>
      <c r="N246" s="2" t="s">
        <v>1293</v>
      </c>
      <c r="O246" s="10">
        <v>3</v>
      </c>
      <c r="U246" s="45">
        <f>O246*V246</f>
        <v>140.39999999999998</v>
      </c>
      <c r="V246" s="45">
        <f>12*X246</f>
        <v>46.8</v>
      </c>
      <c r="X246" s="6">
        <f>3+18/20</f>
        <v>3.9</v>
      </c>
      <c r="AB246" s="45"/>
      <c r="AC246">
        <v>11</v>
      </c>
      <c r="AD246">
        <v>14</v>
      </c>
      <c r="AE246">
        <v>0</v>
      </c>
      <c r="AF246" s="23">
        <f>AC246+AD246/20+AE246/240</f>
        <v>11.7</v>
      </c>
      <c r="AG246">
        <v>3</v>
      </c>
      <c r="AH246">
        <v>18</v>
      </c>
      <c r="AI246">
        <v>0</v>
      </c>
      <c r="AJ246" s="23">
        <f>X246*1</f>
        <v>3.9</v>
      </c>
      <c r="AK246" s="23"/>
      <c r="BC246" s="7"/>
      <c r="BD246" s="23">
        <v>3.9</v>
      </c>
      <c r="BG246" s="23"/>
      <c r="BP246" s="34"/>
      <c r="BS246" s="21"/>
      <c r="BW246" s="20">
        <f>U246+(BO246*12*O246)+BT246</f>
        <v>140.39999999999998</v>
      </c>
      <c r="BX246" s="20">
        <f>BW246/O246</f>
        <v>46.79999999999999</v>
      </c>
      <c r="CJ246">
        <f>A246*1</f>
        <v>1426</v>
      </c>
      <c r="CK246" s="2" t="s">
        <v>473</v>
      </c>
      <c r="CL246" t="s">
        <v>1045</v>
      </c>
    </row>
    <row r="247" spans="1:89" ht="12.75">
      <c r="A247" s="18"/>
      <c r="E247" s="14"/>
      <c r="F247" s="33"/>
      <c r="G247" s="2"/>
      <c r="K247" s="2"/>
      <c r="U247" s="45"/>
      <c r="V247" s="45"/>
      <c r="X247" s="6"/>
      <c r="AB247" s="45"/>
      <c r="AJ247" s="23"/>
      <c r="AK247" s="23"/>
      <c r="BE247" s="23"/>
      <c r="BG247" s="7"/>
      <c r="BP247" s="34"/>
      <c r="BS247" s="21"/>
      <c r="BW247" s="20"/>
      <c r="BX247" s="20"/>
      <c r="CK247" s="2"/>
    </row>
    <row r="248" spans="1:89" ht="12.75">
      <c r="A248" s="18">
        <v>1426</v>
      </c>
      <c r="B248" s="14" t="s">
        <v>1077</v>
      </c>
      <c r="C248" s="14" t="s">
        <v>558</v>
      </c>
      <c r="D248" s="14" t="s">
        <v>263</v>
      </c>
      <c r="E248" s="14" t="s">
        <v>253</v>
      </c>
      <c r="F248" s="33" t="s">
        <v>245</v>
      </c>
      <c r="G248" s="2"/>
      <c r="H248" s="2" t="s">
        <v>428</v>
      </c>
      <c r="I248" s="2" t="s">
        <v>815</v>
      </c>
      <c r="J248" s="14" t="s">
        <v>326</v>
      </c>
      <c r="K248" s="2" t="s">
        <v>477</v>
      </c>
      <c r="L248" s="14" t="s">
        <v>410</v>
      </c>
      <c r="M248" s="14" t="s">
        <v>755</v>
      </c>
      <c r="N248" s="2" t="s">
        <v>1494</v>
      </c>
      <c r="O248" s="10">
        <f>5+2/3</f>
        <v>5.666666666666667</v>
      </c>
      <c r="U248" s="45">
        <f>O248*V248</f>
        <v>374</v>
      </c>
      <c r="V248" s="45">
        <f>12*X248</f>
        <v>66</v>
      </c>
      <c r="X248" s="6">
        <f>5+10/20</f>
        <v>5.5</v>
      </c>
      <c r="AF248" s="23">
        <f>X248*O248</f>
        <v>31.166666666666668</v>
      </c>
      <c r="AG248">
        <v>5</v>
      </c>
      <c r="AH248">
        <v>10</v>
      </c>
      <c r="AI248">
        <v>0</v>
      </c>
      <c r="AJ248" s="23">
        <f>X248*1</f>
        <v>5.5</v>
      </c>
      <c r="AK248" s="23"/>
      <c r="BP248" s="34"/>
      <c r="BS248" s="21"/>
      <c r="BW248" s="20">
        <f>U248+(BO248*12*O248)+BT248</f>
        <v>374</v>
      </c>
      <c r="BX248" s="20">
        <f>BW248/O248</f>
        <v>66</v>
      </c>
      <c r="CJ248">
        <f>A248*1</f>
        <v>1426</v>
      </c>
      <c r="CK248" s="2" t="s">
        <v>477</v>
      </c>
    </row>
    <row r="249" spans="1:89" ht="12.75">
      <c r="A249" s="18">
        <v>1426</v>
      </c>
      <c r="B249" s="14" t="s">
        <v>1077</v>
      </c>
      <c r="C249" s="14" t="s">
        <v>558</v>
      </c>
      <c r="D249" s="14" t="s">
        <v>263</v>
      </c>
      <c r="E249" s="14" t="s">
        <v>253</v>
      </c>
      <c r="F249" s="33" t="s">
        <v>246</v>
      </c>
      <c r="G249" s="2"/>
      <c r="H249" s="2" t="s">
        <v>428</v>
      </c>
      <c r="I249" s="2" t="s">
        <v>530</v>
      </c>
      <c r="J249" s="14" t="s">
        <v>326</v>
      </c>
      <c r="K249" s="2" t="s">
        <v>486</v>
      </c>
      <c r="L249" s="14" t="s">
        <v>410</v>
      </c>
      <c r="M249" s="14" t="s">
        <v>1002</v>
      </c>
      <c r="N249" s="2" t="s">
        <v>1494</v>
      </c>
      <c r="O249" s="10">
        <v>5.5</v>
      </c>
      <c r="U249" s="45">
        <f>O249*V249</f>
        <v>363</v>
      </c>
      <c r="V249" s="45">
        <f>12*X249</f>
        <v>66</v>
      </c>
      <c r="X249" s="6">
        <f>5+10/20</f>
        <v>5.5</v>
      </c>
      <c r="AF249" s="23">
        <f>X249*O249</f>
        <v>30.25</v>
      </c>
      <c r="AG249">
        <v>5</v>
      </c>
      <c r="AH249">
        <v>10</v>
      </c>
      <c r="AI249">
        <v>0</v>
      </c>
      <c r="AJ249" s="23">
        <f>X249*1</f>
        <v>5.5</v>
      </c>
      <c r="BP249" s="34"/>
      <c r="BS249" s="21"/>
      <c r="BW249" s="20">
        <f>U249+(BO249*12*O249)+BT249</f>
        <v>363</v>
      </c>
      <c r="BX249" s="20">
        <f>BW249/O249</f>
        <v>66</v>
      </c>
      <c r="CJ249">
        <f>A249*1</f>
        <v>1426</v>
      </c>
      <c r="CK249" s="2" t="s">
        <v>486</v>
      </c>
    </row>
    <row r="250" spans="1:89" ht="12.75">
      <c r="A250" s="18">
        <v>1426</v>
      </c>
      <c r="B250" s="14" t="s">
        <v>1077</v>
      </c>
      <c r="C250" s="14" t="s">
        <v>558</v>
      </c>
      <c r="D250" s="14" t="s">
        <v>263</v>
      </c>
      <c r="E250" s="14" t="s">
        <v>253</v>
      </c>
      <c r="F250" s="33" t="s">
        <v>247</v>
      </c>
      <c r="G250" s="2"/>
      <c r="H250" s="2" t="s">
        <v>428</v>
      </c>
      <c r="I250" s="2" t="s">
        <v>816</v>
      </c>
      <c r="J250" s="14" t="s">
        <v>326</v>
      </c>
      <c r="K250" s="2" t="s">
        <v>477</v>
      </c>
      <c r="L250" s="14" t="s">
        <v>410</v>
      </c>
      <c r="M250" s="14" t="s">
        <v>755</v>
      </c>
      <c r="N250" s="2" t="s">
        <v>567</v>
      </c>
      <c r="O250" s="10">
        <v>3</v>
      </c>
      <c r="U250" s="45">
        <f>O250*V250</f>
        <v>190.79999999999998</v>
      </c>
      <c r="V250" s="45">
        <f>12*X250</f>
        <v>63.599999999999994</v>
      </c>
      <c r="X250" s="6">
        <f>5+6/20</f>
        <v>5.3</v>
      </c>
      <c r="AB250" s="45"/>
      <c r="AF250" s="23">
        <f>X250*O250</f>
        <v>15.899999999999999</v>
      </c>
      <c r="AG250">
        <v>5</v>
      </c>
      <c r="AH250">
        <v>6</v>
      </c>
      <c r="AI250">
        <v>0</v>
      </c>
      <c r="AJ250" s="23">
        <f>X250*1</f>
        <v>5.3</v>
      </c>
      <c r="AX250" s="23">
        <v>5.3</v>
      </c>
      <c r="BP250" s="34"/>
      <c r="BS250" s="21"/>
      <c r="BW250" s="20">
        <f>U250+(BO250*12*O250)+BT250</f>
        <v>190.79999999999998</v>
      </c>
      <c r="BX250" s="20">
        <f>BW250/O250</f>
        <v>63.599999999999994</v>
      </c>
      <c r="CJ250">
        <f>A250*1</f>
        <v>1426</v>
      </c>
      <c r="CK250" s="2" t="s">
        <v>477</v>
      </c>
    </row>
    <row r="251" spans="1:89" ht="12.75">
      <c r="A251" s="18"/>
      <c r="E251" s="14"/>
      <c r="F251" s="33"/>
      <c r="G251" s="2"/>
      <c r="K251" s="2"/>
      <c r="U251" s="45"/>
      <c r="V251" s="45"/>
      <c r="AB251" s="45"/>
      <c r="AJ251" s="7"/>
      <c r="AU251" s="7"/>
      <c r="BP251" s="34"/>
      <c r="BS251" s="21"/>
      <c r="BW251" s="45"/>
      <c r="BX251" s="45"/>
      <c r="CJ251" s="16"/>
      <c r="CK251" s="2"/>
    </row>
    <row r="252" spans="1:89" ht="12.75">
      <c r="A252" s="18"/>
      <c r="E252" s="14"/>
      <c r="F252" s="33"/>
      <c r="G252" s="2"/>
      <c r="K252" s="2"/>
      <c r="U252" s="45"/>
      <c r="V252" s="45"/>
      <c r="AB252" s="45"/>
      <c r="AJ252" s="7"/>
      <c r="AY252" s="7"/>
      <c r="BP252" s="34"/>
      <c r="BS252" s="21"/>
      <c r="BW252" s="45"/>
      <c r="BX252" s="45"/>
      <c r="CJ252" s="16"/>
      <c r="CK252" s="2"/>
    </row>
    <row r="253" spans="1:89" ht="12.75">
      <c r="A253" s="18"/>
      <c r="E253" s="14"/>
      <c r="F253" s="33"/>
      <c r="G253" s="2"/>
      <c r="K253" s="2"/>
      <c r="U253" s="45"/>
      <c r="V253" s="45"/>
      <c r="AB253" s="45"/>
      <c r="AJ253" s="7"/>
      <c r="AZ253" s="7"/>
      <c r="BP253" s="34"/>
      <c r="BS253" s="21"/>
      <c r="BW253" s="45"/>
      <c r="BX253" s="45"/>
      <c r="CJ253" s="16"/>
      <c r="CK253" s="2"/>
    </row>
    <row r="254" spans="1:89" ht="12.75">
      <c r="A254" s="18"/>
      <c r="E254" s="14"/>
      <c r="F254" s="33"/>
      <c r="G254" s="2"/>
      <c r="K254" s="2"/>
      <c r="U254" s="45"/>
      <c r="V254" s="45"/>
      <c r="AB254" s="45"/>
      <c r="AJ254" s="7"/>
      <c r="BB254" s="7"/>
      <c r="BP254" s="34"/>
      <c r="BS254" s="21"/>
      <c r="BW254" s="45"/>
      <c r="BX254" s="45"/>
      <c r="CJ254" s="16"/>
      <c r="CK254" s="2"/>
    </row>
    <row r="255" spans="1:89" ht="12.75">
      <c r="A255" s="18"/>
      <c r="E255" s="14"/>
      <c r="F255" s="33"/>
      <c r="G255" s="2"/>
      <c r="K255" s="2"/>
      <c r="U255" s="45"/>
      <c r="V255" s="45"/>
      <c r="AB255" s="45"/>
      <c r="AJ255" s="7"/>
      <c r="BG255" s="7"/>
      <c r="BP255" s="34"/>
      <c r="BS255" s="21"/>
      <c r="BW255" s="45"/>
      <c r="BX255" s="45"/>
      <c r="CJ255" s="16"/>
      <c r="CK255" s="2"/>
    </row>
    <row r="256" spans="1:89" ht="12.75">
      <c r="A256" s="18"/>
      <c r="E256" s="14"/>
      <c r="F256" s="33"/>
      <c r="G256" s="2"/>
      <c r="K256" s="2"/>
      <c r="U256" s="45"/>
      <c r="V256" s="45"/>
      <c r="AB256" s="45"/>
      <c r="AJ256" s="7"/>
      <c r="BG256" s="7"/>
      <c r="BP256" s="34"/>
      <c r="BS256" s="21"/>
      <c r="BW256" s="45"/>
      <c r="BX256" s="45"/>
      <c r="CJ256" s="16"/>
      <c r="CK256" s="2"/>
    </row>
    <row r="257" spans="1:89" ht="12.75">
      <c r="A257" s="18"/>
      <c r="E257" s="14"/>
      <c r="F257" s="33"/>
      <c r="G257" s="2"/>
      <c r="K257" s="2"/>
      <c r="U257" s="45"/>
      <c r="V257" s="45"/>
      <c r="AB257" s="45"/>
      <c r="AJ257" s="7"/>
      <c r="AW257" s="7"/>
      <c r="BD257" s="7"/>
      <c r="BE257" s="19"/>
      <c r="BF257" s="19"/>
      <c r="BP257" s="34"/>
      <c r="BS257" s="21"/>
      <c r="BW257" s="45"/>
      <c r="BX257" s="45"/>
      <c r="CJ257" s="16"/>
      <c r="CK257" s="2"/>
    </row>
    <row r="258" spans="1:89" ht="12.75">
      <c r="A258" s="18"/>
      <c r="E258" s="14"/>
      <c r="F258" s="33"/>
      <c r="G258" s="2"/>
      <c r="K258" s="2"/>
      <c r="U258" s="45"/>
      <c r="V258" s="45"/>
      <c r="AB258" s="45"/>
      <c r="AJ258" s="7"/>
      <c r="BG258" s="7"/>
      <c r="BP258" s="34"/>
      <c r="BS258" s="21"/>
      <c r="BW258" s="45"/>
      <c r="BX258" s="45"/>
      <c r="CJ258" s="16"/>
      <c r="CK258" s="2"/>
    </row>
    <row r="259" spans="1:89" ht="12.75">
      <c r="A259" s="18"/>
      <c r="E259" s="14"/>
      <c r="F259" s="33"/>
      <c r="G259" s="2"/>
      <c r="K259" s="2"/>
      <c r="U259" s="45"/>
      <c r="V259" s="45"/>
      <c r="AB259" s="45"/>
      <c r="AJ259" s="7"/>
      <c r="BG259" s="7"/>
      <c r="BP259" s="34"/>
      <c r="BS259" s="21"/>
      <c r="BW259" s="45"/>
      <c r="BX259" s="45"/>
      <c r="CJ259" s="16"/>
      <c r="CK259" s="2"/>
    </row>
    <row r="260" spans="1:89" ht="12.75">
      <c r="A260" s="18"/>
      <c r="E260" s="14"/>
      <c r="F260" s="33"/>
      <c r="G260" s="2"/>
      <c r="K260" s="2"/>
      <c r="U260" s="45"/>
      <c r="V260" s="45"/>
      <c r="BS260" s="21"/>
      <c r="BW260" s="45"/>
      <c r="BX260" s="45"/>
      <c r="CK260" s="2"/>
    </row>
    <row r="261" spans="1:89" ht="12.75">
      <c r="A261" s="18"/>
      <c r="E261" s="14"/>
      <c r="F261" s="33"/>
      <c r="G261" s="2"/>
      <c r="K261" s="2"/>
      <c r="U261" s="45"/>
      <c r="V261" s="45"/>
      <c r="AB261" s="45"/>
      <c r="AJ261" s="7"/>
      <c r="BG261" s="7"/>
      <c r="BP261" s="34"/>
      <c r="BS261" s="21"/>
      <c r="BW261" s="45"/>
      <c r="BX261" s="45"/>
      <c r="CJ261" s="16"/>
      <c r="CK261" s="2"/>
    </row>
    <row r="262" spans="1:89" ht="12.75">
      <c r="A262" s="18"/>
      <c r="E262" s="14"/>
      <c r="F262" s="33"/>
      <c r="G262" s="2"/>
      <c r="K262" s="2"/>
      <c r="U262" s="45"/>
      <c r="V262" s="45"/>
      <c r="AB262" s="45"/>
      <c r="AJ262" s="7"/>
      <c r="BG262" s="7"/>
      <c r="BP262" s="34"/>
      <c r="BS262" s="21"/>
      <c r="BW262" s="45"/>
      <c r="BX262" s="45"/>
      <c r="CJ262" s="16"/>
      <c r="CK262" s="2"/>
    </row>
    <row r="263" spans="1:89" ht="12.75">
      <c r="A263" s="18"/>
      <c r="E263" s="14"/>
      <c r="F263" s="33"/>
      <c r="G263" s="2"/>
      <c r="K263" s="2"/>
      <c r="U263" s="45"/>
      <c r="V263" s="45"/>
      <c r="AB263" s="45"/>
      <c r="AJ263" s="7"/>
      <c r="BG263" s="7"/>
      <c r="BP263" s="34"/>
      <c r="BS263" s="21"/>
      <c r="BW263" s="45"/>
      <c r="BX263" s="45"/>
      <c r="CJ263" s="16"/>
      <c r="CK263" s="2"/>
    </row>
    <row r="264" spans="1:89" ht="12.75">
      <c r="A264" s="18"/>
      <c r="E264" s="14"/>
      <c r="F264" s="33"/>
      <c r="G264" s="2"/>
      <c r="K264" s="2"/>
      <c r="U264" s="45"/>
      <c r="V264" s="45"/>
      <c r="BP264" s="34"/>
      <c r="BS264" s="21"/>
      <c r="BW264" s="45"/>
      <c r="BX264" s="45"/>
      <c r="CJ264" s="16"/>
      <c r="CK264" s="2"/>
    </row>
    <row r="265" spans="1:89" ht="12.75">
      <c r="A265" s="18"/>
      <c r="E265" s="14"/>
      <c r="F265" s="33"/>
      <c r="G265" s="2"/>
      <c r="K265" s="2"/>
      <c r="U265" s="45"/>
      <c r="V265" s="45"/>
      <c r="AJ265" s="7"/>
      <c r="BP265" s="34"/>
      <c r="BS265" s="21"/>
      <c r="CK265" s="2"/>
    </row>
    <row r="266" spans="1:89" ht="12.75">
      <c r="A266" s="18"/>
      <c r="E266" s="14"/>
      <c r="F266" s="33"/>
      <c r="G266" s="2"/>
      <c r="K266" s="2"/>
      <c r="U266" s="45"/>
      <c r="V266" s="45"/>
      <c r="AB266" s="45"/>
      <c r="AJ266" s="7"/>
      <c r="AY266" s="7"/>
      <c r="BP266" s="34"/>
      <c r="BS266" s="21"/>
      <c r="BW266" s="45"/>
      <c r="BX266" s="45"/>
      <c r="CJ266" s="16"/>
      <c r="CK266" s="2"/>
    </row>
    <row r="267" spans="1:89" ht="12.75">
      <c r="A267" s="18"/>
      <c r="E267" s="14"/>
      <c r="F267" s="33"/>
      <c r="G267" s="2"/>
      <c r="K267" s="2"/>
      <c r="U267" s="45"/>
      <c r="V267" s="45"/>
      <c r="AB267" s="45"/>
      <c r="AJ267" s="7"/>
      <c r="AZ267" s="7"/>
      <c r="BP267" s="34"/>
      <c r="BS267" s="21"/>
      <c r="BW267" s="45"/>
      <c r="BX267" s="45"/>
      <c r="CJ267" s="16"/>
      <c r="CK267" s="2"/>
    </row>
    <row r="268" spans="1:89" ht="12.75">
      <c r="A268" s="18"/>
      <c r="E268" s="14"/>
      <c r="F268" s="33"/>
      <c r="G268" s="2"/>
      <c r="K268" s="2"/>
      <c r="U268" s="45"/>
      <c r="V268" s="45"/>
      <c r="AB268" s="45"/>
      <c r="AJ268" s="7"/>
      <c r="BG268" s="7"/>
      <c r="BP268" s="34"/>
      <c r="BS268" s="21"/>
      <c r="BW268" s="45"/>
      <c r="BX268" s="45"/>
      <c r="CJ268" s="16"/>
      <c r="CK268" s="2"/>
    </row>
    <row r="269" spans="1:89" ht="12.75">
      <c r="A269" s="18"/>
      <c r="E269" s="14"/>
      <c r="F269" s="33"/>
      <c r="G269" s="2"/>
      <c r="K269" s="2"/>
      <c r="U269" s="45"/>
      <c r="V269" s="45"/>
      <c r="AB269" s="45"/>
      <c r="AJ269" s="7"/>
      <c r="BB269" s="7"/>
      <c r="BP269" s="34"/>
      <c r="BS269" s="21"/>
      <c r="BW269" s="45"/>
      <c r="BX269" s="45"/>
      <c r="CJ269" s="16"/>
      <c r="CK269" s="2"/>
    </row>
    <row r="270" spans="1:89" ht="12.75">
      <c r="A270" s="18"/>
      <c r="E270" s="14"/>
      <c r="F270" s="33"/>
      <c r="G270" s="2"/>
      <c r="K270" s="2"/>
      <c r="U270" s="45"/>
      <c r="V270" s="45"/>
      <c r="AB270" s="45"/>
      <c r="AJ270" s="7"/>
      <c r="BG270" s="7"/>
      <c r="BP270" s="34"/>
      <c r="BS270" s="21"/>
      <c r="BW270" s="45"/>
      <c r="BX270" s="45"/>
      <c r="CJ270" s="16"/>
      <c r="CK270" s="2"/>
    </row>
    <row r="271" spans="1:89" ht="12.75">
      <c r="A271" s="18"/>
      <c r="E271" s="14"/>
      <c r="F271" s="33"/>
      <c r="G271" s="2"/>
      <c r="K271" s="2"/>
      <c r="U271" s="45"/>
      <c r="V271" s="45"/>
      <c r="AB271" s="45"/>
      <c r="AJ271" s="7"/>
      <c r="BG271" s="7"/>
      <c r="BP271" s="34"/>
      <c r="BS271" s="21"/>
      <c r="BW271" s="45"/>
      <c r="BX271" s="45"/>
      <c r="CJ271" s="16"/>
      <c r="CK271" s="2"/>
    </row>
    <row r="272" spans="1:89" ht="12.75">
      <c r="A272" s="18"/>
      <c r="E272" s="14"/>
      <c r="F272" s="33"/>
      <c r="G272" s="2"/>
      <c r="K272" s="2"/>
      <c r="U272" s="45"/>
      <c r="V272" s="45"/>
      <c r="AB272" s="45"/>
      <c r="AJ272" s="7"/>
      <c r="BG272" s="7"/>
      <c r="BP272" s="34"/>
      <c r="BS272" s="21"/>
      <c r="BW272" s="45"/>
      <c r="BX272" s="45"/>
      <c r="CJ272" s="16"/>
      <c r="CK272" s="2"/>
    </row>
    <row r="273" spans="1:89" ht="12.75">
      <c r="A273" s="18"/>
      <c r="E273" s="14"/>
      <c r="F273" s="33"/>
      <c r="G273" s="2"/>
      <c r="K273" s="2"/>
      <c r="BP273" s="34"/>
      <c r="BS273" s="21"/>
      <c r="CK273" s="2"/>
    </row>
    <row r="274" spans="1:89" ht="12.75">
      <c r="A274" s="18"/>
      <c r="E274" s="14"/>
      <c r="F274" s="33"/>
      <c r="G274" s="2"/>
      <c r="K274" s="2"/>
      <c r="U274" s="45"/>
      <c r="V274" s="45"/>
      <c r="AB274" s="45"/>
      <c r="AJ274" s="7"/>
      <c r="AK274" s="23"/>
      <c r="BD274" s="7"/>
      <c r="BE274" s="19"/>
      <c r="BF274" s="19"/>
      <c r="BP274" s="34"/>
      <c r="BS274" s="21"/>
      <c r="BW274" s="45"/>
      <c r="BX274" s="45"/>
      <c r="CJ274" s="16"/>
      <c r="CK274" s="2"/>
    </row>
    <row r="275" spans="1:89" ht="12.75">
      <c r="A275" s="18"/>
      <c r="E275" s="14"/>
      <c r="F275" s="33"/>
      <c r="G275" s="2"/>
      <c r="K275" s="2"/>
      <c r="U275" s="45"/>
      <c r="V275" s="45"/>
      <c r="AB275" s="45"/>
      <c r="AJ275" s="7"/>
      <c r="AK275" s="23"/>
      <c r="BD275" s="7"/>
      <c r="BE275" s="19"/>
      <c r="BF275" s="19"/>
      <c r="BP275" s="34"/>
      <c r="BS275" s="21"/>
      <c r="BW275" s="45"/>
      <c r="BX275" s="45"/>
      <c r="CJ275" s="16"/>
      <c r="CK275" s="2"/>
    </row>
    <row r="276" spans="1:89" ht="12.75">
      <c r="A276" s="18"/>
      <c r="E276" s="14"/>
      <c r="F276" s="33"/>
      <c r="G276" s="2"/>
      <c r="K276" s="2"/>
      <c r="U276" s="45"/>
      <c r="V276" s="45"/>
      <c r="AB276" s="45"/>
      <c r="AJ276" s="7"/>
      <c r="AK276" s="23"/>
      <c r="BD276" s="7"/>
      <c r="BE276" s="19"/>
      <c r="BF276" s="19"/>
      <c r="BP276" s="34"/>
      <c r="BS276" s="21"/>
      <c r="BW276" s="45"/>
      <c r="BX276" s="45"/>
      <c r="CJ276" s="16"/>
      <c r="CK276" s="2"/>
    </row>
    <row r="277" spans="1:89" ht="12.75">
      <c r="A277" s="18"/>
      <c r="E277" s="14"/>
      <c r="F277" s="33"/>
      <c r="G277" s="2"/>
      <c r="K277" s="2"/>
      <c r="U277" s="45"/>
      <c r="V277" s="45"/>
      <c r="AB277" s="45"/>
      <c r="AJ277" s="7"/>
      <c r="AK277" s="23"/>
      <c r="BD277" s="7"/>
      <c r="BE277" s="19"/>
      <c r="BF277" s="19"/>
      <c r="BP277" s="34"/>
      <c r="BS277" s="21"/>
      <c r="BW277" s="45"/>
      <c r="BX277" s="45"/>
      <c r="CJ277" s="16"/>
      <c r="CK277" s="2"/>
    </row>
    <row r="278" spans="1:89" ht="12.75">
      <c r="A278" s="18"/>
      <c r="E278" s="14"/>
      <c r="F278" s="33"/>
      <c r="G278" s="2"/>
      <c r="K278" s="2"/>
      <c r="U278" s="45"/>
      <c r="V278" s="45"/>
      <c r="AB278" s="45"/>
      <c r="AJ278" s="7"/>
      <c r="AK278" s="23"/>
      <c r="BD278" s="7"/>
      <c r="BE278" s="19"/>
      <c r="BF278" s="19"/>
      <c r="BP278" s="34"/>
      <c r="BS278" s="21"/>
      <c r="BW278" s="45"/>
      <c r="BX278" s="45"/>
      <c r="CJ278" s="16"/>
      <c r="CK278" s="2"/>
    </row>
    <row r="279" spans="1:89" ht="12.75">
      <c r="A279" s="18"/>
      <c r="E279" s="14"/>
      <c r="F279" s="33"/>
      <c r="G279" s="2"/>
      <c r="K279" s="2"/>
      <c r="U279" s="45"/>
      <c r="V279" s="45"/>
      <c r="AB279" s="45"/>
      <c r="AK279" s="23"/>
      <c r="BS279" s="21"/>
      <c r="BW279" s="45"/>
      <c r="BX279" s="45"/>
      <c r="CK279" s="2"/>
    </row>
    <row r="280" spans="1:89" ht="12.75">
      <c r="A280" s="18"/>
      <c r="E280" s="14"/>
      <c r="F280" s="33"/>
      <c r="G280" s="2"/>
      <c r="K280" s="2"/>
      <c r="U280" s="45"/>
      <c r="V280" s="45"/>
      <c r="AB280" s="45"/>
      <c r="AJ280" s="7"/>
      <c r="AK280" s="23"/>
      <c r="BP280" s="34"/>
      <c r="BS280" s="21"/>
      <c r="BW280" s="45"/>
      <c r="BX280" s="45"/>
      <c r="CJ280" s="16"/>
      <c r="CK280" s="2"/>
    </row>
    <row r="281" spans="1:89" ht="12.75">
      <c r="A281" s="18"/>
      <c r="E281" s="14"/>
      <c r="F281" s="33"/>
      <c r="G281" s="2"/>
      <c r="K281" s="2"/>
      <c r="U281" s="45"/>
      <c r="V281" s="45"/>
      <c r="AB281" s="45"/>
      <c r="AJ281" s="7"/>
      <c r="AK281" s="23"/>
      <c r="AU281" s="7"/>
      <c r="BP281" s="34"/>
      <c r="BS281" s="21"/>
      <c r="BW281" s="45"/>
      <c r="BX281" s="45"/>
      <c r="CJ281" s="16"/>
      <c r="CK281" s="2"/>
    </row>
    <row r="282" spans="1:89" ht="12.75">
      <c r="A282" s="18"/>
      <c r="E282" s="14"/>
      <c r="F282" s="33"/>
      <c r="G282" s="2"/>
      <c r="K282" s="2"/>
      <c r="U282" s="45"/>
      <c r="AK282" s="23"/>
      <c r="BS282" s="21"/>
      <c r="BW282" s="45"/>
      <c r="BX282" s="45"/>
      <c r="CJ282" s="16"/>
      <c r="CK282" s="2"/>
    </row>
    <row r="283" spans="1:89" ht="12.75">
      <c r="A283" s="18"/>
      <c r="E283" s="14"/>
      <c r="F283" s="33"/>
      <c r="G283" s="2"/>
      <c r="K283" s="2"/>
      <c r="U283" s="45"/>
      <c r="V283" s="45"/>
      <c r="AB283" s="45"/>
      <c r="AJ283" s="7"/>
      <c r="AY283" s="7"/>
      <c r="BP283" s="34"/>
      <c r="BS283" s="21"/>
      <c r="BW283" s="45"/>
      <c r="BX283" s="45"/>
      <c r="CJ283" s="16"/>
      <c r="CK283" s="2"/>
    </row>
    <row r="284" spans="1:89" ht="12.75">
      <c r="A284" s="18"/>
      <c r="E284" s="14"/>
      <c r="F284" s="33"/>
      <c r="G284" s="2"/>
      <c r="K284" s="2"/>
      <c r="U284" s="45"/>
      <c r="V284" s="45"/>
      <c r="AB284" s="45"/>
      <c r="AJ284" s="7"/>
      <c r="AZ284" s="7"/>
      <c r="BP284" s="34"/>
      <c r="BS284" s="21"/>
      <c r="BW284" s="45"/>
      <c r="BX284" s="45"/>
      <c r="CJ284" s="16"/>
      <c r="CK284" s="2"/>
    </row>
    <row r="285" spans="1:89" ht="12.75">
      <c r="A285" s="18"/>
      <c r="E285" s="14"/>
      <c r="F285" s="33"/>
      <c r="G285" s="2"/>
      <c r="K285" s="2"/>
      <c r="U285" s="45"/>
      <c r="V285" s="45"/>
      <c r="AB285" s="45"/>
      <c r="AJ285" s="7"/>
      <c r="AW285" s="7"/>
      <c r="BP285" s="34"/>
      <c r="BS285" s="21"/>
      <c r="BW285" s="45"/>
      <c r="BX285" s="45"/>
      <c r="CJ285" s="16"/>
      <c r="CK285" s="2"/>
    </row>
    <row r="286" spans="1:89" ht="12.75">
      <c r="A286" s="18"/>
      <c r="E286" s="14"/>
      <c r="F286" s="33"/>
      <c r="G286" s="2"/>
      <c r="K286" s="2"/>
      <c r="U286" s="45"/>
      <c r="V286" s="45"/>
      <c r="AB286" s="45"/>
      <c r="AJ286" s="7"/>
      <c r="BB286" s="7"/>
      <c r="BP286" s="34"/>
      <c r="BS286" s="21"/>
      <c r="BW286" s="45"/>
      <c r="BX286" s="45"/>
      <c r="CJ286" s="16"/>
      <c r="CK286" s="2"/>
    </row>
    <row r="287" spans="1:89" ht="12.75">
      <c r="A287" s="18"/>
      <c r="E287" s="14"/>
      <c r="F287" s="33"/>
      <c r="G287" s="2"/>
      <c r="K287" s="2"/>
      <c r="U287" s="45"/>
      <c r="V287" s="45"/>
      <c r="AB287" s="45"/>
      <c r="AJ287" s="7"/>
      <c r="BG287" s="7"/>
      <c r="BP287" s="34"/>
      <c r="BS287" s="21"/>
      <c r="BW287" s="45"/>
      <c r="BX287" s="45"/>
      <c r="CJ287" s="16"/>
      <c r="CK287" s="2"/>
    </row>
    <row r="288" spans="1:89" ht="12.75">
      <c r="A288" s="18"/>
      <c r="E288" s="14"/>
      <c r="F288" s="33"/>
      <c r="G288" s="2"/>
      <c r="K288" s="2"/>
      <c r="U288" s="45"/>
      <c r="V288" s="45"/>
      <c r="AB288" s="45"/>
      <c r="AJ288" s="7"/>
      <c r="BG288" s="7"/>
      <c r="BP288" s="34"/>
      <c r="BS288" s="21"/>
      <c r="BW288" s="45"/>
      <c r="BX288" s="45"/>
      <c r="CJ288" s="16"/>
      <c r="CK288" s="2"/>
    </row>
    <row r="289" spans="1:89" ht="12.75">
      <c r="A289" s="18"/>
      <c r="E289" s="14"/>
      <c r="F289" s="33"/>
      <c r="G289" s="2"/>
      <c r="K289" s="2"/>
      <c r="U289" s="45"/>
      <c r="V289" s="45"/>
      <c r="AB289" s="45"/>
      <c r="AJ289" s="7"/>
      <c r="BG289" s="7"/>
      <c r="BP289" s="34"/>
      <c r="BS289" s="21"/>
      <c r="BW289" s="45"/>
      <c r="BX289" s="45"/>
      <c r="CJ289" s="16"/>
      <c r="CK289" s="2"/>
    </row>
    <row r="290" spans="1:89" ht="12.75">
      <c r="A290" s="18"/>
      <c r="E290" s="14"/>
      <c r="F290" s="33"/>
      <c r="G290" s="2"/>
      <c r="K290" s="2"/>
      <c r="U290" s="45"/>
      <c r="V290" s="45"/>
      <c r="AB290" s="45"/>
      <c r="AJ290" s="7"/>
      <c r="BG290" s="7"/>
      <c r="BP290" s="34"/>
      <c r="BS290" s="21"/>
      <c r="BW290" s="45"/>
      <c r="BX290" s="45"/>
      <c r="CJ290" s="16"/>
      <c r="CK290" s="2"/>
    </row>
    <row r="291" spans="1:89" ht="12.75">
      <c r="A291" s="18"/>
      <c r="E291" s="14"/>
      <c r="F291" s="33"/>
      <c r="G291" s="2"/>
      <c r="K291" s="2"/>
      <c r="BS291" s="21"/>
      <c r="BW291" s="45"/>
      <c r="BX291" s="45"/>
      <c r="CK291" s="2"/>
    </row>
    <row r="292" spans="1:89" ht="12.75">
      <c r="A292" s="18"/>
      <c r="E292" s="14"/>
      <c r="F292" s="33"/>
      <c r="G292" s="2"/>
      <c r="K292" s="2"/>
      <c r="U292" s="45"/>
      <c r="V292" s="45"/>
      <c r="AB292" s="45"/>
      <c r="AJ292" s="7"/>
      <c r="AK292" s="23"/>
      <c r="BC292" s="7"/>
      <c r="BP292" s="34"/>
      <c r="BS292" s="21"/>
      <c r="BW292" s="45"/>
      <c r="BX292" s="45"/>
      <c r="CJ292" s="16"/>
      <c r="CK292" s="2"/>
    </row>
    <row r="293" spans="1:89" ht="12.75">
      <c r="A293" s="18"/>
      <c r="E293" s="14"/>
      <c r="F293" s="33"/>
      <c r="G293" s="2"/>
      <c r="K293" s="2"/>
      <c r="U293" s="45"/>
      <c r="V293" s="45"/>
      <c r="AB293" s="45"/>
      <c r="AJ293" s="7"/>
      <c r="AK293" s="23"/>
      <c r="BG293" s="7"/>
      <c r="BP293" s="34"/>
      <c r="BS293" s="21"/>
      <c r="BW293" s="45"/>
      <c r="BX293" s="45"/>
      <c r="CJ293" s="16"/>
      <c r="CK293" s="2"/>
    </row>
    <row r="294" spans="1:89" ht="12.75">
      <c r="A294" s="18"/>
      <c r="E294" s="14"/>
      <c r="F294" s="33"/>
      <c r="G294" s="2"/>
      <c r="K294" s="2"/>
      <c r="U294" s="45"/>
      <c r="V294" s="45"/>
      <c r="AB294" s="45"/>
      <c r="AJ294" s="7"/>
      <c r="AK294" s="23"/>
      <c r="BG294" s="7"/>
      <c r="BP294" s="34"/>
      <c r="BS294" s="21"/>
      <c r="BW294" s="45"/>
      <c r="BX294" s="45"/>
      <c r="CJ294" s="16"/>
      <c r="CK294" s="2"/>
    </row>
    <row r="295" spans="1:89" ht="12.75">
      <c r="A295" s="18"/>
      <c r="E295" s="14"/>
      <c r="F295" s="33"/>
      <c r="G295" s="2"/>
      <c r="K295" s="2"/>
      <c r="U295" s="45"/>
      <c r="V295" s="45"/>
      <c r="AB295" s="45"/>
      <c r="AJ295" s="7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BP295" s="34"/>
      <c r="BS295" s="21"/>
      <c r="BW295" s="45"/>
      <c r="BX295" s="45"/>
      <c r="CJ295" s="16"/>
      <c r="CK295" s="2"/>
    </row>
    <row r="296" spans="1:89" ht="12.75">
      <c r="A296" s="18"/>
      <c r="E296" s="14"/>
      <c r="F296" s="33"/>
      <c r="G296" s="2"/>
      <c r="K296" s="2"/>
      <c r="U296" s="45"/>
      <c r="V296" s="45"/>
      <c r="AB296" s="45"/>
      <c r="AJ296" s="7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BD296" s="7"/>
      <c r="BE296" s="19"/>
      <c r="BF296" s="19"/>
      <c r="BP296" s="34"/>
      <c r="BS296" s="21"/>
      <c r="BW296" s="45"/>
      <c r="BX296" s="45"/>
      <c r="CJ296" s="16"/>
      <c r="CK296" s="2"/>
    </row>
    <row r="297" spans="1:89" ht="12.75">
      <c r="A297" s="18"/>
      <c r="E297" s="14"/>
      <c r="F297" s="33"/>
      <c r="G297" s="2"/>
      <c r="K297" s="2"/>
      <c r="U297" s="45"/>
      <c r="V297" s="45"/>
      <c r="AB297" s="45"/>
      <c r="AJ297" s="7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BD297" s="7"/>
      <c r="BE297" s="19"/>
      <c r="BF297" s="19"/>
      <c r="BP297" s="34"/>
      <c r="BS297" s="21"/>
      <c r="BW297" s="45"/>
      <c r="BX297" s="45"/>
      <c r="CJ297" s="16"/>
      <c r="CK297" s="2"/>
    </row>
    <row r="298" spans="1:89" ht="12.75">
      <c r="A298" s="18"/>
      <c r="E298" s="14"/>
      <c r="F298" s="33"/>
      <c r="G298" s="2"/>
      <c r="K298" s="2"/>
      <c r="U298" s="45"/>
      <c r="V298" s="45"/>
      <c r="AB298" s="45"/>
      <c r="AJ298" s="7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BD298" s="7"/>
      <c r="BE298" s="19"/>
      <c r="BF298" s="19"/>
      <c r="BP298" s="34"/>
      <c r="BS298" s="21"/>
      <c r="BW298" s="45"/>
      <c r="BX298" s="45"/>
      <c r="CJ298" s="16"/>
      <c r="CK298" s="2"/>
    </row>
    <row r="299" spans="21:89" ht="12.75">
      <c r="U299" s="45"/>
      <c r="V299" s="45"/>
      <c r="AB299" s="45"/>
      <c r="BS299" s="21"/>
      <c r="CK299" s="17"/>
    </row>
    <row r="300" spans="1:89" ht="12.75">
      <c r="A300" s="18"/>
      <c r="E300" s="14"/>
      <c r="F300" s="33"/>
      <c r="G300" s="2"/>
      <c r="K300" s="2"/>
      <c r="U300" s="45"/>
      <c r="V300" s="45"/>
      <c r="AB300" s="45"/>
      <c r="AJ300" s="7"/>
      <c r="AY300" s="7"/>
      <c r="BP300" s="34"/>
      <c r="BS300" s="21"/>
      <c r="BW300" s="45"/>
      <c r="BX300" s="45"/>
      <c r="CJ300" s="16"/>
      <c r="CK300" s="2"/>
    </row>
    <row r="301" spans="1:89" ht="12.75">
      <c r="A301" s="18"/>
      <c r="E301" s="14"/>
      <c r="F301" s="33"/>
      <c r="G301" s="2"/>
      <c r="K301" s="2"/>
      <c r="U301" s="45"/>
      <c r="V301" s="45"/>
      <c r="AB301" s="45"/>
      <c r="AJ301" s="7"/>
      <c r="AZ301" s="7"/>
      <c r="BP301" s="34"/>
      <c r="BS301" s="21"/>
      <c r="BW301" s="45"/>
      <c r="BX301" s="45"/>
      <c r="CJ301" s="16"/>
      <c r="CK301" s="2"/>
    </row>
    <row r="302" spans="1:89" ht="12.75">
      <c r="A302" s="18"/>
      <c r="E302" s="14"/>
      <c r="F302" s="33"/>
      <c r="G302" s="2"/>
      <c r="K302" s="2"/>
      <c r="U302" s="45"/>
      <c r="V302" s="45"/>
      <c r="AB302" s="45"/>
      <c r="AJ302" s="7"/>
      <c r="BG302" s="7"/>
      <c r="BP302" s="34"/>
      <c r="BS302" s="21"/>
      <c r="BW302" s="45"/>
      <c r="BX302" s="45"/>
      <c r="CJ302" s="16"/>
      <c r="CK302" s="2"/>
    </row>
    <row r="303" spans="1:89" ht="12.75">
      <c r="A303" s="18"/>
      <c r="E303" s="14"/>
      <c r="F303" s="33"/>
      <c r="G303" s="2"/>
      <c r="K303" s="2"/>
      <c r="U303" s="45"/>
      <c r="V303" s="45"/>
      <c r="AB303" s="45"/>
      <c r="AJ303" s="7"/>
      <c r="BB303" s="7"/>
      <c r="BP303" s="34"/>
      <c r="BS303" s="21"/>
      <c r="BW303" s="45"/>
      <c r="BX303" s="45"/>
      <c r="CJ303" s="16"/>
      <c r="CK303" s="2"/>
    </row>
    <row r="304" spans="1:89" ht="12.75">
      <c r="A304" s="18"/>
      <c r="E304" s="14"/>
      <c r="F304" s="33"/>
      <c r="G304" s="2"/>
      <c r="K304" s="2"/>
      <c r="U304" s="45"/>
      <c r="V304" s="45"/>
      <c r="AB304" s="45"/>
      <c r="AJ304" s="7"/>
      <c r="BG304" s="7"/>
      <c r="BP304" s="34"/>
      <c r="BS304" s="21"/>
      <c r="BW304" s="45"/>
      <c r="BX304" s="45"/>
      <c r="CJ304" s="16"/>
      <c r="CK304" s="2"/>
    </row>
    <row r="305" spans="1:89" ht="12.75">
      <c r="A305" s="18"/>
      <c r="E305" s="14"/>
      <c r="F305" s="33"/>
      <c r="G305" s="2"/>
      <c r="K305" s="2"/>
      <c r="U305" s="45"/>
      <c r="V305" s="45"/>
      <c r="AB305" s="45"/>
      <c r="AJ305" s="7"/>
      <c r="BG305" s="7"/>
      <c r="BP305" s="34"/>
      <c r="BS305" s="21"/>
      <c r="BW305" s="45"/>
      <c r="BX305" s="45"/>
      <c r="CJ305" s="16"/>
      <c r="CK305" s="2"/>
    </row>
    <row r="306" spans="1:89" ht="12.75">
      <c r="A306" s="18"/>
      <c r="E306" s="14"/>
      <c r="F306" s="33"/>
      <c r="G306" s="2"/>
      <c r="K306" s="2"/>
      <c r="U306" s="45"/>
      <c r="V306" s="45"/>
      <c r="AB306" s="45"/>
      <c r="AJ306" s="7"/>
      <c r="BG306" s="7"/>
      <c r="BP306" s="34"/>
      <c r="BS306" s="21"/>
      <c r="BW306" s="45"/>
      <c r="BX306" s="45"/>
      <c r="CJ306" s="16"/>
      <c r="CK306" s="2"/>
    </row>
    <row r="307" spans="5:89" ht="12.75">
      <c r="E307" s="14"/>
      <c r="F307" s="33"/>
      <c r="G307" s="2"/>
      <c r="K307" s="2"/>
      <c r="BS307" s="21"/>
      <c r="CJ307" s="16"/>
      <c r="CK307" s="2"/>
    </row>
    <row r="308" spans="1:89" ht="12.75">
      <c r="A308" s="18"/>
      <c r="E308" s="14"/>
      <c r="F308" s="33"/>
      <c r="G308" s="2"/>
      <c r="K308" s="2"/>
      <c r="U308" s="45"/>
      <c r="V308" s="45"/>
      <c r="AB308" s="45"/>
      <c r="AJ308" s="7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7"/>
      <c r="BP308" s="34"/>
      <c r="BS308" s="21"/>
      <c r="BW308" s="45"/>
      <c r="BX308" s="45"/>
      <c r="CJ308" s="16"/>
      <c r="CK308" s="2"/>
    </row>
    <row r="309" spans="1:89" ht="12.75">
      <c r="A309" s="18"/>
      <c r="E309" s="14"/>
      <c r="F309" s="33"/>
      <c r="G309" s="2"/>
      <c r="K309" s="2"/>
      <c r="U309" s="45"/>
      <c r="V309" s="45"/>
      <c r="AB309" s="45"/>
      <c r="AJ309" s="7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7"/>
      <c r="BP309" s="34"/>
      <c r="BS309" s="21"/>
      <c r="BW309" s="45"/>
      <c r="BX309" s="45"/>
      <c r="CJ309" s="16"/>
      <c r="CK309" s="2"/>
    </row>
    <row r="310" spans="1:89" ht="12.75">
      <c r="A310" s="18"/>
      <c r="E310" s="14"/>
      <c r="F310" s="33"/>
      <c r="G310" s="2"/>
      <c r="K310" s="2"/>
      <c r="U310" s="45"/>
      <c r="V310" s="45"/>
      <c r="AB310" s="45"/>
      <c r="AJ310" s="7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BP310" s="34"/>
      <c r="BS310" s="21"/>
      <c r="BW310" s="45"/>
      <c r="BX310" s="45"/>
      <c r="CJ310" s="16"/>
      <c r="CK310" s="2"/>
    </row>
    <row r="311" spans="1:89" ht="12.75">
      <c r="A311" s="18"/>
      <c r="E311" s="14"/>
      <c r="F311" s="33"/>
      <c r="G311" s="2"/>
      <c r="K311" s="2"/>
      <c r="U311" s="45"/>
      <c r="V311" s="45"/>
      <c r="AB311" s="45"/>
      <c r="AJ311" s="7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Y311" s="7"/>
      <c r="BP311" s="34"/>
      <c r="BS311" s="21"/>
      <c r="BW311" s="45"/>
      <c r="BX311" s="45"/>
      <c r="CJ311" s="16"/>
      <c r="CK311" s="2"/>
    </row>
    <row r="312" spans="1:89" ht="12.75">
      <c r="A312" s="18"/>
      <c r="E312" s="14"/>
      <c r="F312" s="33"/>
      <c r="G312" s="2"/>
      <c r="K312" s="2"/>
      <c r="U312" s="45"/>
      <c r="V312" s="45"/>
      <c r="AB312" s="45"/>
      <c r="AJ312" s="7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Z312" s="7"/>
      <c r="BP312" s="34"/>
      <c r="BS312" s="21"/>
      <c r="BW312" s="45"/>
      <c r="BX312" s="45"/>
      <c r="CJ312" s="16"/>
      <c r="CK312" s="2"/>
    </row>
    <row r="313" spans="1:89" ht="12.75">
      <c r="A313" s="18"/>
      <c r="E313" s="14"/>
      <c r="F313" s="33"/>
      <c r="G313" s="2"/>
      <c r="K313" s="2"/>
      <c r="U313" s="45"/>
      <c r="V313" s="45"/>
      <c r="AB313" s="45"/>
      <c r="AJ313" s="7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W313" s="7"/>
      <c r="BD313" s="7"/>
      <c r="BE313" s="19"/>
      <c r="BF313" s="19"/>
      <c r="BP313" s="34"/>
      <c r="BS313" s="21"/>
      <c r="BW313" s="45"/>
      <c r="BX313" s="45"/>
      <c r="CJ313" s="16"/>
      <c r="CK313" s="2"/>
    </row>
    <row r="314" spans="1:89" ht="12.75">
      <c r="A314" s="18"/>
      <c r="E314" s="14"/>
      <c r="F314" s="33"/>
      <c r="G314" s="2"/>
      <c r="K314" s="2"/>
      <c r="U314" s="45"/>
      <c r="V314" s="45"/>
      <c r="AB314" s="45"/>
      <c r="AJ314" s="7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BB314" s="7"/>
      <c r="BP314" s="34"/>
      <c r="BS314" s="21"/>
      <c r="BW314" s="45"/>
      <c r="BX314" s="45"/>
      <c r="CJ314" s="16"/>
      <c r="CK314" s="2"/>
    </row>
    <row r="315" spans="1:89" ht="12.75">
      <c r="A315" s="18"/>
      <c r="E315" s="14"/>
      <c r="F315" s="33"/>
      <c r="G315" s="2"/>
      <c r="K315" s="2"/>
      <c r="U315" s="45"/>
      <c r="V315" s="45"/>
      <c r="AB315" s="45"/>
      <c r="AJ315" s="7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BG315" s="7"/>
      <c r="BP315" s="34"/>
      <c r="BS315" s="21"/>
      <c r="BW315" s="45"/>
      <c r="BX315" s="45"/>
      <c r="CJ315" s="16"/>
      <c r="CK315" s="2"/>
    </row>
    <row r="316" spans="1:89" ht="12.75">
      <c r="A316" s="18"/>
      <c r="E316" s="14"/>
      <c r="F316" s="33"/>
      <c r="G316" s="2"/>
      <c r="K316" s="2"/>
      <c r="U316" s="45"/>
      <c r="V316" s="45"/>
      <c r="AB316" s="45"/>
      <c r="AJ316" s="7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BG316" s="7"/>
      <c r="BP316" s="34"/>
      <c r="BS316" s="21"/>
      <c r="BW316" s="45"/>
      <c r="BX316" s="45"/>
      <c r="CJ316" s="16"/>
      <c r="CK316" s="2"/>
    </row>
    <row r="317" spans="1:89" ht="12.75">
      <c r="A317" s="18"/>
      <c r="E317" s="14"/>
      <c r="F317" s="33"/>
      <c r="G317" s="2"/>
      <c r="K317" s="2"/>
      <c r="U317" s="45"/>
      <c r="V317" s="4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BS317" s="21"/>
      <c r="CK317" s="2"/>
    </row>
    <row r="318" spans="1:89" ht="12.75">
      <c r="A318" s="18"/>
      <c r="E318" s="14"/>
      <c r="F318" s="33"/>
      <c r="G318" s="2"/>
      <c r="K318" s="2"/>
      <c r="U318" s="45"/>
      <c r="V318" s="45"/>
      <c r="AB318" s="45"/>
      <c r="AJ318" s="7"/>
      <c r="BG318" s="7"/>
      <c r="BP318" s="34"/>
      <c r="BS318" s="21"/>
      <c r="BW318" s="45"/>
      <c r="BX318" s="45"/>
      <c r="CJ318" s="16"/>
      <c r="CK318" s="2"/>
    </row>
    <row r="319" spans="1:89" ht="12.75">
      <c r="A319" s="18"/>
      <c r="E319" s="14"/>
      <c r="F319" s="33"/>
      <c r="G319" s="2"/>
      <c r="K319" s="2"/>
      <c r="U319" s="45"/>
      <c r="V319" s="45"/>
      <c r="AB319" s="45"/>
      <c r="AJ319" s="7"/>
      <c r="BG319" s="7"/>
      <c r="BP319" s="34"/>
      <c r="BS319" s="21"/>
      <c r="BW319" s="45"/>
      <c r="BX319" s="45"/>
      <c r="CJ319" s="16"/>
      <c r="CK319" s="2"/>
    </row>
    <row r="320" spans="1:89" ht="12.75">
      <c r="A320" s="18"/>
      <c r="E320" s="14"/>
      <c r="F320" s="33"/>
      <c r="G320" s="2"/>
      <c r="K320" s="2"/>
      <c r="U320" s="45"/>
      <c r="V320" s="45"/>
      <c r="AB320" s="45"/>
      <c r="AJ320" s="7"/>
      <c r="BC320" s="7"/>
      <c r="BP320" s="34"/>
      <c r="BS320" s="21"/>
      <c r="BW320" s="45"/>
      <c r="BX320" s="45"/>
      <c r="CJ320" s="16"/>
      <c r="CK320" s="2"/>
    </row>
    <row r="321" spans="1:89" ht="12.75">
      <c r="A321" s="18"/>
      <c r="E321" s="14"/>
      <c r="F321" s="33"/>
      <c r="G321" s="2"/>
      <c r="K321" s="2"/>
      <c r="U321" s="45"/>
      <c r="V321" s="45"/>
      <c r="AB321" s="45"/>
      <c r="AJ321" s="7"/>
      <c r="BD321" s="7"/>
      <c r="BE321" s="19"/>
      <c r="BF321" s="19"/>
      <c r="BP321" s="34"/>
      <c r="BS321" s="21"/>
      <c r="BW321" s="45"/>
      <c r="BX321" s="45"/>
      <c r="CJ321" s="16"/>
      <c r="CK321" s="2"/>
    </row>
    <row r="322" spans="1:89" ht="12.75">
      <c r="A322" s="18"/>
      <c r="E322" s="14"/>
      <c r="F322" s="33"/>
      <c r="G322" s="2"/>
      <c r="K322" s="2"/>
      <c r="U322" s="45"/>
      <c r="V322" s="45"/>
      <c r="AB322" s="45"/>
      <c r="AJ322" s="7"/>
      <c r="BD322" s="7"/>
      <c r="BE322" s="19"/>
      <c r="BF322" s="19"/>
      <c r="BP322" s="34"/>
      <c r="BS322" s="21"/>
      <c r="BW322" s="45"/>
      <c r="BX322" s="45"/>
      <c r="CJ322" s="16"/>
      <c r="CK322" s="2"/>
    </row>
    <row r="323" spans="1:89" ht="12.75">
      <c r="A323" s="18"/>
      <c r="E323" s="14"/>
      <c r="F323" s="33"/>
      <c r="G323" s="2"/>
      <c r="K323" s="2"/>
      <c r="U323" s="45"/>
      <c r="V323" s="45"/>
      <c r="AB323" s="45"/>
      <c r="AJ323" s="7"/>
      <c r="BD323" s="7"/>
      <c r="BE323" s="19"/>
      <c r="BF323" s="19"/>
      <c r="BP323" s="34"/>
      <c r="BS323" s="21"/>
      <c r="BW323" s="45"/>
      <c r="BX323" s="45"/>
      <c r="CJ323" s="16"/>
      <c r="CK323" s="2"/>
    </row>
    <row r="324" spans="1:89" ht="12.75">
      <c r="A324" s="18"/>
      <c r="E324" s="14"/>
      <c r="F324" s="33"/>
      <c r="G324" s="2"/>
      <c r="K324" s="2"/>
      <c r="BS324" s="21"/>
      <c r="BW324" s="45"/>
      <c r="BX324" s="45"/>
      <c r="CK324" s="2"/>
    </row>
    <row r="325" spans="1:89" ht="12.75">
      <c r="A325" s="18"/>
      <c r="E325" s="14"/>
      <c r="F325" s="33"/>
      <c r="G325" s="2"/>
      <c r="K325" s="2"/>
      <c r="U325" s="45"/>
      <c r="V325" s="45"/>
      <c r="AB325" s="45"/>
      <c r="AJ325" s="7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Y325" s="7"/>
      <c r="BP325" s="34"/>
      <c r="BS325" s="21"/>
      <c r="BW325" s="45"/>
      <c r="BX325" s="45"/>
      <c r="CJ325" s="16"/>
      <c r="CK325" s="2"/>
    </row>
    <row r="326" spans="1:89" ht="12.75">
      <c r="A326" s="18"/>
      <c r="E326" s="14"/>
      <c r="F326" s="33"/>
      <c r="G326" s="2"/>
      <c r="K326" s="2"/>
      <c r="U326" s="45"/>
      <c r="V326" s="45"/>
      <c r="AB326" s="45"/>
      <c r="AJ326" s="7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Z326" s="7"/>
      <c r="BP326" s="34"/>
      <c r="BS326" s="21"/>
      <c r="BW326" s="45"/>
      <c r="BX326" s="45"/>
      <c r="CJ326" s="16"/>
      <c r="CK326" s="2"/>
    </row>
    <row r="327" spans="1:89" ht="12.75">
      <c r="A327" s="18"/>
      <c r="E327" s="14"/>
      <c r="F327" s="33"/>
      <c r="G327" s="2"/>
      <c r="K327" s="2"/>
      <c r="U327" s="45"/>
      <c r="V327" s="45"/>
      <c r="AB327" s="45"/>
      <c r="AJ327" s="7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BG327" s="7"/>
      <c r="BP327" s="34"/>
      <c r="BS327" s="21"/>
      <c r="BW327" s="45"/>
      <c r="BX327" s="45"/>
      <c r="CJ327" s="16"/>
      <c r="CK327" s="2"/>
    </row>
    <row r="328" spans="1:89" ht="12.75">
      <c r="A328" s="18"/>
      <c r="E328" s="14"/>
      <c r="F328" s="33"/>
      <c r="G328" s="2"/>
      <c r="K328" s="2"/>
      <c r="U328" s="45"/>
      <c r="V328" s="45"/>
      <c r="AB328" s="45"/>
      <c r="AJ328" s="7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BB328" s="7"/>
      <c r="BP328" s="34"/>
      <c r="BS328" s="21"/>
      <c r="BW328" s="45"/>
      <c r="BX328" s="45"/>
      <c r="CJ328" s="16"/>
      <c r="CK328" s="2"/>
    </row>
    <row r="329" spans="1:89" ht="12.75">
      <c r="A329" s="18"/>
      <c r="E329" s="14"/>
      <c r="F329" s="33"/>
      <c r="G329" s="2"/>
      <c r="K329" s="2"/>
      <c r="U329" s="45"/>
      <c r="V329" s="45"/>
      <c r="AB329" s="45"/>
      <c r="AJ329" s="7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BG329" s="7"/>
      <c r="BP329" s="34"/>
      <c r="BS329" s="21"/>
      <c r="BW329" s="45"/>
      <c r="BX329" s="45"/>
      <c r="CJ329" s="16"/>
      <c r="CK329" s="2"/>
    </row>
    <row r="330" spans="1:89" ht="12.75">
      <c r="A330" s="18"/>
      <c r="E330" s="14"/>
      <c r="F330" s="33"/>
      <c r="G330" s="2"/>
      <c r="K330" s="2"/>
      <c r="U330" s="45"/>
      <c r="V330" s="45"/>
      <c r="AB330" s="45"/>
      <c r="AJ330" s="7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BG330" s="7"/>
      <c r="BP330" s="34"/>
      <c r="BS330" s="21"/>
      <c r="BW330" s="45"/>
      <c r="BX330" s="45"/>
      <c r="CJ330" s="16"/>
      <c r="CK330" s="2"/>
    </row>
    <row r="331" spans="1:89" ht="12.75">
      <c r="A331" s="18"/>
      <c r="E331" s="14"/>
      <c r="F331" s="33"/>
      <c r="G331" s="2"/>
      <c r="K331" s="2"/>
      <c r="U331" s="45"/>
      <c r="V331" s="45"/>
      <c r="AB331" s="4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BP331" s="34"/>
      <c r="BS331" s="21"/>
      <c r="CK331" s="2"/>
    </row>
    <row r="332" spans="1:89" ht="12.75">
      <c r="A332" s="18"/>
      <c r="E332" s="14"/>
      <c r="F332" s="33"/>
      <c r="G332" s="2"/>
      <c r="K332" s="2"/>
      <c r="U332" s="45"/>
      <c r="V332" s="45"/>
      <c r="AB332" s="45"/>
      <c r="AJ332" s="7"/>
      <c r="AU332" s="7"/>
      <c r="BP332" s="34"/>
      <c r="BS332" s="21"/>
      <c r="BW332" s="45"/>
      <c r="BX332" s="45"/>
      <c r="CJ332" s="16"/>
      <c r="CK332" s="2"/>
    </row>
    <row r="333" spans="1:89" ht="12.75">
      <c r="A333" s="18"/>
      <c r="E333" s="14"/>
      <c r="F333" s="33"/>
      <c r="G333" s="2"/>
      <c r="K333" s="2"/>
      <c r="U333" s="45"/>
      <c r="V333" s="45"/>
      <c r="AB333" s="45"/>
      <c r="AJ333" s="7"/>
      <c r="AU333" s="7"/>
      <c r="BP333" s="34"/>
      <c r="BS333" s="21"/>
      <c r="BW333" s="45"/>
      <c r="BX333" s="45"/>
      <c r="CJ333" s="16"/>
      <c r="CK333" s="2"/>
    </row>
    <row r="334" spans="1:89" ht="12.75">
      <c r="A334" s="18"/>
      <c r="E334" s="14"/>
      <c r="F334" s="33"/>
      <c r="G334" s="2"/>
      <c r="K334" s="2"/>
      <c r="U334" s="45"/>
      <c r="V334" s="45"/>
      <c r="AB334" s="45"/>
      <c r="AJ334" s="7"/>
      <c r="AY334" s="7"/>
      <c r="BP334" s="34"/>
      <c r="BS334" s="21"/>
      <c r="BW334" s="45"/>
      <c r="BX334" s="45"/>
      <c r="CJ334" s="16"/>
      <c r="CK334" s="2"/>
    </row>
    <row r="335" spans="1:89" ht="12.75">
      <c r="A335" s="18"/>
      <c r="E335" s="14"/>
      <c r="F335" s="33"/>
      <c r="G335" s="2"/>
      <c r="K335" s="2"/>
      <c r="U335" s="45"/>
      <c r="V335" s="45"/>
      <c r="AB335" s="45"/>
      <c r="AJ335" s="7"/>
      <c r="AZ335" s="7"/>
      <c r="BP335" s="34"/>
      <c r="BS335" s="21"/>
      <c r="BW335" s="45"/>
      <c r="BX335" s="45"/>
      <c r="CJ335" s="16"/>
      <c r="CK335" s="2"/>
    </row>
    <row r="336" spans="1:89" ht="12.75">
      <c r="A336" s="18"/>
      <c r="E336" s="14"/>
      <c r="F336" s="33"/>
      <c r="G336" s="2"/>
      <c r="K336" s="2"/>
      <c r="U336" s="45"/>
      <c r="V336" s="45"/>
      <c r="AB336" s="45"/>
      <c r="AJ336" s="7"/>
      <c r="BB336" s="7"/>
      <c r="BP336" s="34"/>
      <c r="BS336" s="21"/>
      <c r="BW336" s="45"/>
      <c r="BX336" s="45"/>
      <c r="CJ336" s="16"/>
      <c r="CK336" s="2"/>
    </row>
    <row r="337" spans="1:89" ht="12.75">
      <c r="A337" s="18"/>
      <c r="E337" s="14"/>
      <c r="F337" s="33"/>
      <c r="G337" s="2"/>
      <c r="K337" s="2"/>
      <c r="U337" s="45"/>
      <c r="V337" s="45"/>
      <c r="AB337" s="45"/>
      <c r="AJ337" s="7"/>
      <c r="BG337" s="7"/>
      <c r="BP337" s="34"/>
      <c r="BS337" s="21"/>
      <c r="BW337" s="45"/>
      <c r="BX337" s="45"/>
      <c r="CJ337" s="16"/>
      <c r="CK337" s="2"/>
    </row>
    <row r="338" spans="1:89" ht="12.75">
      <c r="A338" s="18"/>
      <c r="E338" s="14"/>
      <c r="F338" s="33"/>
      <c r="G338" s="2"/>
      <c r="K338" s="2"/>
      <c r="U338" s="45"/>
      <c r="V338" s="45"/>
      <c r="AB338" s="45"/>
      <c r="AJ338" s="7"/>
      <c r="BG338" s="7"/>
      <c r="BP338" s="34"/>
      <c r="BS338" s="21"/>
      <c r="BW338" s="45"/>
      <c r="BX338" s="45"/>
      <c r="CJ338" s="16"/>
      <c r="CK338" s="2"/>
    </row>
    <row r="339" spans="1:89" ht="12.75">
      <c r="A339" s="18"/>
      <c r="E339" s="14"/>
      <c r="F339" s="33"/>
      <c r="G339" s="2"/>
      <c r="K339" s="2"/>
      <c r="U339" s="45"/>
      <c r="V339" s="45"/>
      <c r="AB339" s="45"/>
      <c r="AJ339" s="7"/>
      <c r="AW339" s="7"/>
      <c r="BP339" s="34"/>
      <c r="BS339" s="21"/>
      <c r="BW339" s="45"/>
      <c r="BX339" s="45"/>
      <c r="CJ339" s="16"/>
      <c r="CK339" s="2"/>
    </row>
    <row r="340" spans="1:89" ht="12.75">
      <c r="A340" s="18"/>
      <c r="E340" s="14"/>
      <c r="F340" s="33"/>
      <c r="G340" s="2"/>
      <c r="K340" s="2"/>
      <c r="U340" s="45"/>
      <c r="V340" s="45"/>
      <c r="BS340" s="21"/>
      <c r="CK340" s="2"/>
    </row>
    <row r="341" spans="1:89" ht="12.75">
      <c r="A341" s="18"/>
      <c r="E341" s="14"/>
      <c r="F341" s="33"/>
      <c r="G341" s="2"/>
      <c r="K341" s="2"/>
      <c r="U341" s="45"/>
      <c r="V341" s="45"/>
      <c r="AB341" s="45"/>
      <c r="AJ341" s="7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W341" s="7"/>
      <c r="BP341" s="34"/>
      <c r="BS341" s="21"/>
      <c r="BW341" s="45"/>
      <c r="BX341" s="45"/>
      <c r="CJ341" s="16"/>
      <c r="CK341" s="2"/>
    </row>
    <row r="342" spans="1:89" ht="12.75">
      <c r="A342" s="18"/>
      <c r="E342" s="14"/>
      <c r="F342" s="33"/>
      <c r="G342" s="2"/>
      <c r="K342" s="2"/>
      <c r="U342" s="45"/>
      <c r="V342" s="45"/>
      <c r="AB342" s="45"/>
      <c r="AJ342" s="7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BG342" s="7"/>
      <c r="BP342" s="34"/>
      <c r="BS342" s="21"/>
      <c r="BW342" s="45"/>
      <c r="BX342" s="45"/>
      <c r="CJ342" s="16"/>
      <c r="CK342" s="2"/>
    </row>
    <row r="343" spans="1:89" ht="12.75">
      <c r="A343" s="18"/>
      <c r="E343" s="14"/>
      <c r="F343" s="33"/>
      <c r="G343" s="2"/>
      <c r="K343" s="2"/>
      <c r="U343" s="45"/>
      <c r="V343" s="45"/>
      <c r="AB343" s="45"/>
      <c r="AJ343" s="7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BG343" s="7"/>
      <c r="BP343" s="34"/>
      <c r="BS343" s="21"/>
      <c r="BW343" s="45"/>
      <c r="BX343" s="45"/>
      <c r="CJ343" s="16"/>
      <c r="CK343" s="2"/>
    </row>
    <row r="344" spans="1:89" ht="12.75">
      <c r="A344" s="18"/>
      <c r="E344" s="14"/>
      <c r="F344" s="33"/>
      <c r="G344" s="2"/>
      <c r="K344" s="2"/>
      <c r="U344" s="45"/>
      <c r="V344" s="45"/>
      <c r="AB344" s="45"/>
      <c r="AJ344" s="7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BP344" s="34"/>
      <c r="BS344" s="21"/>
      <c r="BW344" s="45"/>
      <c r="BX344" s="45"/>
      <c r="CJ344" s="16"/>
      <c r="CK344" s="2"/>
    </row>
    <row r="345" spans="1:89" ht="12.75">
      <c r="A345" s="18"/>
      <c r="E345" s="14"/>
      <c r="F345" s="33"/>
      <c r="G345" s="2"/>
      <c r="K345" s="2"/>
      <c r="U345" s="45"/>
      <c r="V345" s="45"/>
      <c r="AB345" s="45"/>
      <c r="AJ345" s="7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BC345" s="7"/>
      <c r="BP345" s="34"/>
      <c r="BS345" s="21"/>
      <c r="BW345" s="45"/>
      <c r="BX345" s="45"/>
      <c r="CJ345" s="16"/>
      <c r="CK345" s="2"/>
    </row>
    <row r="346" spans="1:89" ht="12.75">
      <c r="A346" s="18"/>
      <c r="E346" s="14"/>
      <c r="F346" s="33"/>
      <c r="G346" s="2"/>
      <c r="K346" s="2"/>
      <c r="U346" s="45"/>
      <c r="V346" s="45"/>
      <c r="AB346" s="45"/>
      <c r="AJ346" s="7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BP346" s="34"/>
      <c r="BS346" s="21"/>
      <c r="BW346" s="45"/>
      <c r="BX346" s="45"/>
      <c r="CJ346" s="16"/>
      <c r="CK346" s="2"/>
    </row>
    <row r="347" spans="1:89" ht="12.75">
      <c r="A347" s="18"/>
      <c r="E347" s="14"/>
      <c r="F347" s="33"/>
      <c r="G347" s="2"/>
      <c r="K347" s="2"/>
      <c r="U347" s="45"/>
      <c r="V347" s="45"/>
      <c r="AB347" s="45"/>
      <c r="AJ347" s="7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BP347" s="34"/>
      <c r="BS347" s="21"/>
      <c r="BW347" s="45"/>
      <c r="BX347" s="45"/>
      <c r="CJ347" s="16"/>
      <c r="CK347" s="2"/>
    </row>
    <row r="348" spans="1:89" ht="12.75">
      <c r="A348" s="18"/>
      <c r="E348" s="14"/>
      <c r="F348" s="33"/>
      <c r="G348" s="2"/>
      <c r="K348" s="2"/>
      <c r="U348" s="45"/>
      <c r="V348" s="45"/>
      <c r="AB348" s="45"/>
      <c r="AJ348" s="7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X348" s="7"/>
      <c r="BP348" s="34"/>
      <c r="BS348" s="21"/>
      <c r="BW348" s="45"/>
      <c r="BX348" s="45"/>
      <c r="CJ348" s="16"/>
      <c r="CK348" s="2"/>
    </row>
    <row r="349" spans="1:89" ht="12.75">
      <c r="A349" s="18"/>
      <c r="E349" s="14"/>
      <c r="F349" s="33"/>
      <c r="G349" s="2"/>
      <c r="K349" s="2"/>
      <c r="U349" s="45"/>
      <c r="V349" s="4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BS349" s="21"/>
      <c r="CJ349" s="16"/>
      <c r="CK349" s="2"/>
    </row>
    <row r="350" spans="1:89" ht="12.75">
      <c r="A350" s="18"/>
      <c r="E350" s="14"/>
      <c r="F350" s="33"/>
      <c r="G350" s="2"/>
      <c r="K350" s="2"/>
      <c r="U350" s="45"/>
      <c r="V350" s="45"/>
      <c r="AB350" s="45"/>
      <c r="AJ350" s="7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7"/>
      <c r="BP350" s="34"/>
      <c r="BS350" s="21"/>
      <c r="BW350" s="45"/>
      <c r="BX350" s="45"/>
      <c r="CJ350" s="16"/>
      <c r="CK350" s="2"/>
    </row>
    <row r="351" spans="1:89" ht="12.75">
      <c r="A351" s="18"/>
      <c r="E351" s="14"/>
      <c r="F351" s="33"/>
      <c r="G351" s="2"/>
      <c r="K351" s="2"/>
      <c r="U351" s="45"/>
      <c r="V351" s="45"/>
      <c r="AB351" s="45"/>
      <c r="AJ351" s="7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7"/>
      <c r="BP351" s="34"/>
      <c r="BS351" s="21"/>
      <c r="BW351" s="45"/>
      <c r="BX351" s="45"/>
      <c r="CJ351" s="16"/>
      <c r="CK351" s="2"/>
    </row>
    <row r="352" spans="1:89" ht="12.75">
      <c r="A352" s="18"/>
      <c r="E352" s="14"/>
      <c r="F352" s="33"/>
      <c r="G352" s="2"/>
      <c r="K352" s="2"/>
      <c r="U352" s="45"/>
      <c r="V352" s="45"/>
      <c r="AB352" s="45"/>
      <c r="AJ352" s="7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Y352" s="7"/>
      <c r="BP352" s="34"/>
      <c r="BS352" s="21"/>
      <c r="BW352" s="45"/>
      <c r="BX352" s="45"/>
      <c r="CJ352" s="16"/>
      <c r="CK352" s="2"/>
    </row>
    <row r="353" spans="1:89" ht="12.75">
      <c r="A353" s="18"/>
      <c r="E353" s="14"/>
      <c r="F353" s="33"/>
      <c r="G353" s="2"/>
      <c r="K353" s="2"/>
      <c r="U353" s="45"/>
      <c r="V353" s="45"/>
      <c r="AB353" s="45"/>
      <c r="AJ353" s="7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Z353" s="7"/>
      <c r="BP353" s="34"/>
      <c r="BS353" s="21"/>
      <c r="BW353" s="45"/>
      <c r="BX353" s="45"/>
      <c r="CJ353" s="16"/>
      <c r="CK353" s="2"/>
    </row>
    <row r="354" spans="1:89" ht="12.75">
      <c r="A354" s="18"/>
      <c r="E354" s="14"/>
      <c r="F354" s="33"/>
      <c r="G354" s="2"/>
      <c r="K354" s="2"/>
      <c r="U354" s="45"/>
      <c r="V354" s="45"/>
      <c r="AB354" s="45"/>
      <c r="AJ354" s="7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BB354" s="7"/>
      <c r="BP354" s="34"/>
      <c r="BS354" s="21"/>
      <c r="BW354" s="45"/>
      <c r="BX354" s="45"/>
      <c r="CJ354" s="16"/>
      <c r="CK354" s="2"/>
    </row>
    <row r="355" spans="1:89" ht="12.75">
      <c r="A355" s="18"/>
      <c r="E355" s="14"/>
      <c r="F355" s="33"/>
      <c r="G355" s="2"/>
      <c r="K355" s="2"/>
      <c r="U355" s="45"/>
      <c r="V355" s="45"/>
      <c r="AB355" s="45"/>
      <c r="AJ355" s="7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BG355" s="7"/>
      <c r="BP355" s="34"/>
      <c r="BS355" s="21"/>
      <c r="BW355" s="45"/>
      <c r="BX355" s="45"/>
      <c r="CJ355" s="16"/>
      <c r="CK355" s="2"/>
    </row>
    <row r="356" spans="1:89" ht="12.75">
      <c r="A356" s="18"/>
      <c r="E356" s="14"/>
      <c r="F356" s="33"/>
      <c r="G356" s="2"/>
      <c r="K356" s="2"/>
      <c r="U356" s="45"/>
      <c r="V356" s="45"/>
      <c r="AB356" s="45"/>
      <c r="AJ356" s="7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BG356" s="7"/>
      <c r="BP356" s="34"/>
      <c r="BS356" s="21"/>
      <c r="BW356" s="45"/>
      <c r="BX356" s="45"/>
      <c r="CJ356" s="16"/>
      <c r="CK356" s="2"/>
    </row>
    <row r="357" spans="1:89" ht="12.75">
      <c r="A357" s="18"/>
      <c r="E357" s="14"/>
      <c r="F357" s="33"/>
      <c r="G357" s="2"/>
      <c r="K357" s="2"/>
      <c r="AB357" s="4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BS357" s="21"/>
      <c r="CK357" s="2"/>
    </row>
    <row r="358" spans="1:89" ht="12.75">
      <c r="A358" s="18"/>
      <c r="E358" s="14"/>
      <c r="F358" s="33"/>
      <c r="G358" s="2"/>
      <c r="K358" s="2"/>
      <c r="U358" s="45"/>
      <c r="V358" s="45"/>
      <c r="AB358" s="45"/>
      <c r="AJ358" s="7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W358" s="7"/>
      <c r="BD358" s="7"/>
      <c r="BE358" s="19"/>
      <c r="BF358" s="19"/>
      <c r="BP358" s="34"/>
      <c r="BS358" s="21"/>
      <c r="BW358" s="45"/>
      <c r="BX358" s="45"/>
      <c r="CJ358" s="16"/>
      <c r="CK358" s="2"/>
    </row>
    <row r="359" spans="1:89" ht="12.75">
      <c r="A359" s="18"/>
      <c r="E359" s="14"/>
      <c r="F359" s="33"/>
      <c r="G359" s="2"/>
      <c r="K359" s="2"/>
      <c r="U359" s="45"/>
      <c r="V359" s="45"/>
      <c r="AB359" s="45"/>
      <c r="AJ359" s="7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W359" s="7"/>
      <c r="BD359" s="7"/>
      <c r="BE359" s="19"/>
      <c r="BF359" s="19"/>
      <c r="BP359" s="34"/>
      <c r="BS359" s="21"/>
      <c r="BW359" s="45"/>
      <c r="BX359" s="45"/>
      <c r="CJ359" s="16"/>
      <c r="CK359" s="2"/>
    </row>
    <row r="360" spans="1:89" ht="12.75">
      <c r="A360" s="18"/>
      <c r="E360" s="14"/>
      <c r="F360" s="33"/>
      <c r="G360" s="2"/>
      <c r="K360" s="2"/>
      <c r="U360" s="45"/>
      <c r="V360" s="45"/>
      <c r="AB360" s="45"/>
      <c r="AJ360" s="7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BG360" s="7"/>
      <c r="BP360" s="34"/>
      <c r="BS360" s="21"/>
      <c r="BW360" s="45"/>
      <c r="BX360" s="45"/>
      <c r="CJ360" s="16"/>
      <c r="CK360" s="2"/>
    </row>
    <row r="361" spans="1:89" ht="12.75">
      <c r="A361" s="18"/>
      <c r="E361" s="14"/>
      <c r="F361" s="33"/>
      <c r="G361" s="2"/>
      <c r="K361" s="2"/>
      <c r="U361" s="45"/>
      <c r="V361" s="45"/>
      <c r="AB361" s="45"/>
      <c r="AJ361" s="7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BG361" s="7"/>
      <c r="BP361" s="34"/>
      <c r="BS361" s="21"/>
      <c r="BW361" s="45"/>
      <c r="BX361" s="45"/>
      <c r="CJ361" s="16"/>
      <c r="CK361" s="2"/>
    </row>
    <row r="362" spans="1:89" ht="12.75">
      <c r="A362" s="18"/>
      <c r="E362" s="14"/>
      <c r="F362" s="33"/>
      <c r="G362" s="2"/>
      <c r="K362" s="2"/>
      <c r="U362" s="45"/>
      <c r="V362" s="45"/>
      <c r="AB362" s="45"/>
      <c r="AJ362" s="7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BP362" s="34"/>
      <c r="BS362" s="21"/>
      <c r="BW362" s="45"/>
      <c r="BX362" s="45"/>
      <c r="CJ362" s="16"/>
      <c r="CK362" s="2"/>
    </row>
    <row r="363" spans="1:89" ht="12.75">
      <c r="A363" s="18"/>
      <c r="E363" s="14"/>
      <c r="F363" s="33"/>
      <c r="G363" s="2"/>
      <c r="K363" s="2"/>
      <c r="U363" s="45"/>
      <c r="V363" s="45"/>
      <c r="AB363" s="45"/>
      <c r="AJ363" s="7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BP363" s="34"/>
      <c r="BS363" s="21"/>
      <c r="BW363" s="45"/>
      <c r="BX363" s="45"/>
      <c r="CJ363" s="16"/>
      <c r="CK363" s="2"/>
    </row>
    <row r="364" spans="1:89" ht="12.75">
      <c r="A364" s="18"/>
      <c r="E364" s="14"/>
      <c r="F364" s="33"/>
      <c r="G364" s="2"/>
      <c r="K364" s="2"/>
      <c r="U364" s="45"/>
      <c r="V364" s="45"/>
      <c r="AB364" s="45"/>
      <c r="AJ364" s="7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BC364" s="7"/>
      <c r="BP364" s="34"/>
      <c r="BS364" s="21"/>
      <c r="BW364" s="45"/>
      <c r="BX364" s="45"/>
      <c r="CJ364" s="16"/>
      <c r="CK364" s="2"/>
    </row>
    <row r="365" spans="1:89" ht="12.75">
      <c r="A365" s="18"/>
      <c r="E365" s="14"/>
      <c r="F365" s="33"/>
      <c r="G365" s="2"/>
      <c r="K365" s="2"/>
      <c r="U365" s="45"/>
      <c r="V365" s="45"/>
      <c r="AB365" s="45"/>
      <c r="AJ365" s="7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BP365" s="34"/>
      <c r="BS365" s="21"/>
      <c r="BW365" s="45"/>
      <c r="BX365" s="45"/>
      <c r="CJ365" s="16"/>
      <c r="CK365" s="2"/>
    </row>
    <row r="366" spans="1:89" ht="12.75">
      <c r="A366" s="18"/>
      <c r="E366" s="14"/>
      <c r="F366" s="33"/>
      <c r="G366" s="2"/>
      <c r="K366" s="2"/>
      <c r="U366" s="45"/>
      <c r="V366" s="45"/>
      <c r="AB366" s="45"/>
      <c r="AJ366" s="7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BP366" s="34"/>
      <c r="BS366" s="21"/>
      <c r="BW366" s="45"/>
      <c r="BX366" s="45"/>
      <c r="CJ366" s="16"/>
      <c r="CK366" s="2"/>
    </row>
    <row r="367" spans="1:89" ht="12.75">
      <c r="A367" s="18"/>
      <c r="E367" s="14"/>
      <c r="F367" s="33"/>
      <c r="G367" s="2"/>
      <c r="K367" s="2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BS367" s="21"/>
      <c r="CK367" s="2"/>
    </row>
    <row r="368" spans="1:89" ht="12.75">
      <c r="A368" s="18"/>
      <c r="E368" s="14"/>
      <c r="F368" s="33"/>
      <c r="G368" s="2"/>
      <c r="K368" s="2"/>
      <c r="U368" s="45"/>
      <c r="V368" s="45"/>
      <c r="AB368" s="45"/>
      <c r="AJ368" s="7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Y368" s="7"/>
      <c r="BP368" s="34"/>
      <c r="BS368" s="21"/>
      <c r="BW368" s="45"/>
      <c r="BX368" s="45"/>
      <c r="CJ368" s="16"/>
      <c r="CK368" s="2"/>
    </row>
    <row r="369" spans="1:89" ht="12.75">
      <c r="A369" s="18"/>
      <c r="E369" s="14"/>
      <c r="F369" s="33"/>
      <c r="G369" s="2"/>
      <c r="K369" s="2"/>
      <c r="U369" s="45"/>
      <c r="V369" s="45"/>
      <c r="AB369" s="45"/>
      <c r="AJ369" s="7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Z369" s="7"/>
      <c r="BP369" s="34"/>
      <c r="BS369" s="21"/>
      <c r="BW369" s="45"/>
      <c r="BX369" s="45"/>
      <c r="CJ369" s="16"/>
      <c r="CK369" s="2"/>
    </row>
    <row r="370" spans="1:89" ht="12.75">
      <c r="A370" s="18"/>
      <c r="E370" s="14"/>
      <c r="F370" s="33"/>
      <c r="G370" s="2"/>
      <c r="K370" s="2"/>
      <c r="U370" s="45"/>
      <c r="V370" s="45"/>
      <c r="AB370" s="45"/>
      <c r="AJ370" s="7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BB370" s="7"/>
      <c r="BP370" s="34"/>
      <c r="BS370" s="21"/>
      <c r="BW370" s="45"/>
      <c r="BX370" s="45"/>
      <c r="CJ370" s="16"/>
      <c r="CK370" s="2"/>
    </row>
    <row r="371" spans="1:89" ht="12.75">
      <c r="A371" s="18"/>
      <c r="E371" s="14"/>
      <c r="F371" s="33"/>
      <c r="G371" s="2"/>
      <c r="K371" s="2"/>
      <c r="U371" s="45"/>
      <c r="V371" s="45"/>
      <c r="AB371" s="45"/>
      <c r="AJ371" s="7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BG371" s="7"/>
      <c r="BP371" s="34"/>
      <c r="BS371" s="21"/>
      <c r="BW371" s="45"/>
      <c r="BX371" s="45"/>
      <c r="CJ371" s="16"/>
      <c r="CK371" s="2"/>
    </row>
    <row r="372" spans="1:89" ht="12.75">
      <c r="A372" s="18"/>
      <c r="E372" s="14"/>
      <c r="F372" s="33"/>
      <c r="G372" s="2"/>
      <c r="K372" s="2"/>
      <c r="U372" s="45"/>
      <c r="V372" s="45"/>
      <c r="AB372" s="45"/>
      <c r="AJ372" s="7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BG372" s="7"/>
      <c r="BP372" s="34"/>
      <c r="BS372" s="21"/>
      <c r="BW372" s="45"/>
      <c r="BX372" s="45"/>
      <c r="CJ372" s="16"/>
      <c r="CK372" s="2"/>
    </row>
    <row r="373" spans="1:89" ht="12.75">
      <c r="A373" s="18"/>
      <c r="E373" s="14"/>
      <c r="F373" s="33"/>
      <c r="G373" s="2"/>
      <c r="K373" s="2"/>
      <c r="U373" s="45"/>
      <c r="V373" s="45"/>
      <c r="AB373" s="45"/>
      <c r="AJ373" s="7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BG373" s="7"/>
      <c r="BP373" s="34"/>
      <c r="BS373" s="21"/>
      <c r="BW373" s="45"/>
      <c r="BX373" s="45"/>
      <c r="CJ373" s="16"/>
      <c r="CK373" s="2"/>
    </row>
    <row r="374" spans="1:89" ht="12.75">
      <c r="A374" s="18"/>
      <c r="E374" s="14"/>
      <c r="F374" s="33"/>
      <c r="G374" s="2"/>
      <c r="K374" s="2"/>
      <c r="U374" s="45"/>
      <c r="V374" s="45"/>
      <c r="AB374" s="45"/>
      <c r="AJ374" s="7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BG374" s="7"/>
      <c r="BP374" s="34"/>
      <c r="BS374" s="21"/>
      <c r="BW374" s="45"/>
      <c r="BX374" s="45"/>
      <c r="CJ374" s="16"/>
      <c r="CK374" s="2"/>
    </row>
    <row r="375" spans="1:89" ht="12.75">
      <c r="A375" s="18"/>
      <c r="E375" s="14"/>
      <c r="F375" s="33"/>
      <c r="G375" s="2"/>
      <c r="K375" s="2"/>
      <c r="U375" s="45"/>
      <c r="V375" s="45"/>
      <c r="AB375" s="45"/>
      <c r="AJ375" s="7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BG375" s="7"/>
      <c r="BP375" s="34"/>
      <c r="BS375" s="21"/>
      <c r="BW375" s="45"/>
      <c r="BX375" s="45"/>
      <c r="CJ375" s="16"/>
      <c r="CK375" s="2"/>
    </row>
    <row r="376" spans="1:89" ht="12.75">
      <c r="A376" s="18"/>
      <c r="E376" s="14"/>
      <c r="F376" s="33"/>
      <c r="G376" s="2"/>
      <c r="K376" s="2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BS376" s="21"/>
      <c r="BW376" s="45"/>
      <c r="BX376" s="45"/>
      <c r="CK376" s="2"/>
    </row>
    <row r="377" spans="1:89" ht="12.75">
      <c r="A377" s="18"/>
      <c r="E377" s="14"/>
      <c r="F377" s="33"/>
      <c r="G377" s="2"/>
      <c r="K377" s="2"/>
      <c r="U377" s="45"/>
      <c r="V377" s="45"/>
      <c r="AB377" s="45"/>
      <c r="AJ377" s="7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W377" s="7"/>
      <c r="BC377" s="7"/>
      <c r="BD377" s="7"/>
      <c r="BE377" s="19"/>
      <c r="BF377" s="19"/>
      <c r="BG377" s="7"/>
      <c r="BP377" s="34"/>
      <c r="BS377" s="21"/>
      <c r="BW377" s="45"/>
      <c r="BX377" s="45"/>
      <c r="CJ377" s="16"/>
      <c r="CK377" s="2"/>
    </row>
    <row r="378" spans="1:89" ht="12.75">
      <c r="A378" s="18"/>
      <c r="E378" s="14"/>
      <c r="F378" s="33"/>
      <c r="G378" s="2"/>
      <c r="K378" s="2"/>
      <c r="U378" s="45"/>
      <c r="V378" s="45"/>
      <c r="AB378" s="45"/>
      <c r="AJ378" s="7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W378" s="7"/>
      <c r="BC378" s="7"/>
      <c r="BD378" s="7"/>
      <c r="BE378" s="19"/>
      <c r="BF378" s="19"/>
      <c r="BG378" s="7"/>
      <c r="BP378" s="34"/>
      <c r="BS378" s="21"/>
      <c r="BW378" s="45"/>
      <c r="BX378" s="45"/>
      <c r="CJ378" s="16"/>
      <c r="CK378" s="2"/>
    </row>
    <row r="379" spans="1:89" ht="12.75">
      <c r="A379" s="18"/>
      <c r="E379" s="14"/>
      <c r="F379" s="33"/>
      <c r="G379" s="2"/>
      <c r="K379" s="2"/>
      <c r="U379" s="45"/>
      <c r="V379" s="45"/>
      <c r="AB379" s="45"/>
      <c r="AJ379" s="7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W379" s="7"/>
      <c r="BC379" s="7"/>
      <c r="BD379" s="7"/>
      <c r="BE379" s="19"/>
      <c r="BF379" s="19"/>
      <c r="BG379" s="7"/>
      <c r="BP379" s="34"/>
      <c r="BS379" s="21"/>
      <c r="BW379" s="45"/>
      <c r="BX379" s="45"/>
      <c r="CJ379" s="16"/>
      <c r="CK379" s="2"/>
    </row>
    <row r="380" spans="1:89" ht="12.75">
      <c r="A380" s="18"/>
      <c r="E380" s="14"/>
      <c r="F380" s="33"/>
      <c r="G380" s="2"/>
      <c r="K380" s="2"/>
      <c r="U380" s="45"/>
      <c r="V380" s="45"/>
      <c r="AB380" s="45"/>
      <c r="AJ380" s="7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W380" s="7"/>
      <c r="BC380" s="7"/>
      <c r="BD380" s="7"/>
      <c r="BE380" s="19"/>
      <c r="BF380" s="19"/>
      <c r="BG380" s="7"/>
      <c r="BP380" s="34"/>
      <c r="BS380" s="21"/>
      <c r="BW380" s="45"/>
      <c r="BX380" s="45"/>
      <c r="CJ380" s="16"/>
      <c r="CK380" s="2"/>
    </row>
    <row r="381" spans="1:89" ht="12.75">
      <c r="A381" s="18"/>
      <c r="E381" s="14"/>
      <c r="F381" s="33"/>
      <c r="G381" s="2"/>
      <c r="K381" s="2"/>
      <c r="U381" s="45"/>
      <c r="V381" s="45"/>
      <c r="AB381" s="45"/>
      <c r="AJ381" s="7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W381" s="7"/>
      <c r="BC381" s="7"/>
      <c r="BD381" s="7"/>
      <c r="BE381" s="19"/>
      <c r="BF381" s="19"/>
      <c r="BG381" s="7"/>
      <c r="BP381" s="34"/>
      <c r="BS381" s="21"/>
      <c r="BW381" s="45"/>
      <c r="BX381" s="45"/>
      <c r="CJ381" s="16"/>
      <c r="CK381" s="2"/>
    </row>
    <row r="382" spans="1:89" ht="12.75">
      <c r="A382" s="18"/>
      <c r="E382" s="14"/>
      <c r="F382" s="33"/>
      <c r="G382" s="2"/>
      <c r="K382" s="2"/>
      <c r="U382" s="45"/>
      <c r="V382" s="45"/>
      <c r="AB382" s="45"/>
      <c r="AJ382" s="7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W382" s="7"/>
      <c r="BC382" s="7"/>
      <c r="BD382" s="7"/>
      <c r="BE382" s="19"/>
      <c r="BF382" s="19"/>
      <c r="BG382" s="7"/>
      <c r="BP382" s="34"/>
      <c r="BS382" s="21"/>
      <c r="BW382" s="45"/>
      <c r="BX382" s="45"/>
      <c r="CJ382" s="16"/>
      <c r="CK382" s="2"/>
    </row>
    <row r="383" spans="1:89" ht="12.75">
      <c r="A383" s="18"/>
      <c r="E383" s="14"/>
      <c r="F383" s="33"/>
      <c r="G383" s="2"/>
      <c r="K383" s="2"/>
      <c r="U383" s="45"/>
      <c r="V383" s="45"/>
      <c r="AB383" s="45"/>
      <c r="AJ383" s="7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W383" s="7"/>
      <c r="BC383" s="7"/>
      <c r="BD383" s="7"/>
      <c r="BE383" s="19"/>
      <c r="BF383" s="19"/>
      <c r="BG383" s="7"/>
      <c r="BP383" s="34"/>
      <c r="BS383" s="21"/>
      <c r="BW383" s="45"/>
      <c r="BX383" s="45"/>
      <c r="CJ383" s="16"/>
      <c r="CK383" s="2"/>
    </row>
    <row r="384" spans="1:88" ht="12.75">
      <c r="A384" s="18"/>
      <c r="E384" s="14"/>
      <c r="F384" s="33"/>
      <c r="G384" s="2"/>
      <c r="K384" s="2"/>
      <c r="AB384" s="4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BP384" s="34"/>
      <c r="BS384" s="21"/>
      <c r="BW384" s="45"/>
      <c r="BX384" s="45"/>
      <c r="CJ384" s="16"/>
    </row>
    <row r="385" spans="1:88" ht="12.75">
      <c r="A385" s="18"/>
      <c r="E385" s="14"/>
      <c r="F385" s="33"/>
      <c r="G385" s="2"/>
      <c r="K385" s="2"/>
      <c r="U385" s="45"/>
      <c r="V385" s="45"/>
      <c r="AB385" s="45"/>
      <c r="AJ385" s="7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BP385" s="34"/>
      <c r="BS385" s="21"/>
      <c r="BW385" s="45"/>
      <c r="BX385" s="45"/>
      <c r="CJ385" s="16"/>
    </row>
    <row r="386" spans="1:76" ht="12.75">
      <c r="A386" s="18"/>
      <c r="E386" s="14"/>
      <c r="F386" s="33"/>
      <c r="G386" s="2"/>
      <c r="K386" s="2"/>
      <c r="U386" s="45"/>
      <c r="V386" s="45"/>
      <c r="AB386" s="45"/>
      <c r="AJ386" s="7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BP386" s="34"/>
      <c r="BS386" s="21"/>
      <c r="BW386" s="45"/>
      <c r="BX386" s="45"/>
    </row>
    <row r="387" spans="1:88" ht="12.75">
      <c r="A387" s="18"/>
      <c r="E387" s="14"/>
      <c r="F387" s="33"/>
      <c r="G387" s="2"/>
      <c r="K387" s="2"/>
      <c r="U387" s="45"/>
      <c r="V387" s="45"/>
      <c r="AB387" s="45"/>
      <c r="AJ387" s="7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BP387" s="34"/>
      <c r="BS387" s="21"/>
      <c r="BW387" s="45"/>
      <c r="BX387" s="45"/>
      <c r="CJ387" s="16"/>
    </row>
    <row r="388" spans="1:76" ht="12.75">
      <c r="A388" s="18"/>
      <c r="E388" s="14"/>
      <c r="F388" s="33"/>
      <c r="G388" s="2"/>
      <c r="K388" s="2"/>
      <c r="U388" s="45"/>
      <c r="V388" s="45"/>
      <c r="AB388" s="45"/>
      <c r="AJ388" s="7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BP388" s="34"/>
      <c r="BS388" s="21"/>
      <c r="BW388" s="45"/>
      <c r="BX388" s="45"/>
    </row>
    <row r="389" spans="1:89" ht="12.75">
      <c r="A389" s="18"/>
      <c r="E389" s="14"/>
      <c r="F389" s="33"/>
      <c r="G389" s="2"/>
      <c r="K389" s="2"/>
      <c r="U389" s="45"/>
      <c r="V389" s="45"/>
      <c r="AB389" s="45"/>
      <c r="AJ389" s="7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BD389" s="7"/>
      <c r="BE389" s="19"/>
      <c r="BF389" s="19"/>
      <c r="BP389" s="34"/>
      <c r="BS389" s="21"/>
      <c r="BW389" s="45"/>
      <c r="BX389" s="45"/>
      <c r="CJ389" s="16"/>
      <c r="CK389" s="2"/>
    </row>
    <row r="390" spans="1:89" ht="12.75">
      <c r="A390" s="18"/>
      <c r="E390" s="14"/>
      <c r="F390" s="33"/>
      <c r="G390" s="2"/>
      <c r="K390" s="2"/>
      <c r="U390" s="45"/>
      <c r="V390" s="45"/>
      <c r="AB390" s="45"/>
      <c r="AJ390" s="7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BD390" s="7"/>
      <c r="BE390" s="19"/>
      <c r="BF390" s="19"/>
      <c r="BP390" s="34"/>
      <c r="BS390" s="21"/>
      <c r="BW390" s="45"/>
      <c r="BX390" s="45"/>
      <c r="CJ390" s="16"/>
      <c r="CK390" s="2"/>
    </row>
    <row r="391" spans="1:89" ht="12.75">
      <c r="A391" s="18"/>
      <c r="E391" s="14"/>
      <c r="F391" s="33"/>
      <c r="G391" s="2"/>
      <c r="K391" s="2"/>
      <c r="U391" s="45"/>
      <c r="V391" s="45"/>
      <c r="AB391" s="45"/>
      <c r="AJ391" s="7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BD391" s="7"/>
      <c r="BE391" s="19"/>
      <c r="BF391" s="19"/>
      <c r="BP391" s="34"/>
      <c r="BS391" s="21"/>
      <c r="BW391" s="45"/>
      <c r="BX391" s="45"/>
      <c r="CJ391" s="16"/>
      <c r="CK391" s="2"/>
    </row>
    <row r="392" spans="1:89" ht="12.75">
      <c r="A392" s="18"/>
      <c r="E392" s="14"/>
      <c r="F392" s="33"/>
      <c r="G392" s="2"/>
      <c r="K392" s="2"/>
      <c r="U392" s="45"/>
      <c r="V392" s="45"/>
      <c r="AB392" s="45"/>
      <c r="AJ392" s="7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BD392" s="7"/>
      <c r="BE392" s="19"/>
      <c r="BF392" s="19"/>
      <c r="BP392" s="34"/>
      <c r="BS392" s="21"/>
      <c r="BW392" s="45"/>
      <c r="BX392" s="45"/>
      <c r="CJ392" s="16"/>
      <c r="CK392" s="2"/>
    </row>
    <row r="393" spans="1:89" ht="12.75">
      <c r="A393" s="18"/>
      <c r="E393" s="14"/>
      <c r="F393" s="33"/>
      <c r="G393" s="2"/>
      <c r="K393" s="2"/>
      <c r="U393" s="45"/>
      <c r="V393" s="45"/>
      <c r="AB393" s="45"/>
      <c r="AJ393" s="7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BD393" s="7"/>
      <c r="BE393" s="19"/>
      <c r="BF393" s="19"/>
      <c r="BP393" s="34"/>
      <c r="BS393" s="21"/>
      <c r="BW393" s="45"/>
      <c r="BX393" s="45"/>
      <c r="CJ393" s="16"/>
      <c r="CK393" s="2"/>
    </row>
    <row r="394" spans="1:89" ht="12.75">
      <c r="A394" s="18"/>
      <c r="E394" s="14"/>
      <c r="F394" s="33"/>
      <c r="G394" s="2"/>
      <c r="K394" s="2"/>
      <c r="U394" s="45"/>
      <c r="V394" s="45"/>
      <c r="AB394" s="45"/>
      <c r="AJ394" s="7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BD394" s="7"/>
      <c r="BE394" s="19"/>
      <c r="BF394" s="19"/>
      <c r="BP394" s="34"/>
      <c r="BS394" s="21"/>
      <c r="BW394" s="45"/>
      <c r="BX394" s="45"/>
      <c r="CJ394" s="16"/>
      <c r="CK394" s="2"/>
    </row>
    <row r="395" spans="1:89" ht="12.75">
      <c r="A395" s="18"/>
      <c r="E395" s="14"/>
      <c r="F395" s="33"/>
      <c r="G395" s="2"/>
      <c r="K395" s="2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BS395" s="21"/>
      <c r="CJ395" s="16"/>
      <c r="CK395" s="2"/>
    </row>
    <row r="396" spans="1:89" ht="12.75">
      <c r="A396" s="18"/>
      <c r="E396" s="14"/>
      <c r="F396" s="33"/>
      <c r="G396" s="2"/>
      <c r="K396" s="2"/>
      <c r="U396" s="45"/>
      <c r="V396" s="45"/>
      <c r="AB396" s="45"/>
      <c r="AJ396" s="7"/>
      <c r="AU396" s="7"/>
      <c r="BP396" s="34"/>
      <c r="BS396" s="21"/>
      <c r="BW396" s="45"/>
      <c r="BX396" s="45"/>
      <c r="CJ396" s="16"/>
      <c r="CK396" s="2"/>
    </row>
    <row r="397" spans="1:89" ht="12.75">
      <c r="A397" s="18"/>
      <c r="E397" s="14"/>
      <c r="F397" s="33"/>
      <c r="G397" s="2"/>
      <c r="K397" s="2"/>
      <c r="U397" s="45"/>
      <c r="V397" s="45"/>
      <c r="AB397" s="45"/>
      <c r="AJ397" s="7"/>
      <c r="AU397" s="7"/>
      <c r="BP397" s="34"/>
      <c r="BS397" s="21"/>
      <c r="BW397" s="45"/>
      <c r="BX397" s="45"/>
      <c r="CJ397" s="16"/>
      <c r="CK397" s="2"/>
    </row>
    <row r="398" spans="1:89" ht="12.75">
      <c r="A398" s="18"/>
      <c r="E398" s="14"/>
      <c r="F398" s="33"/>
      <c r="G398" s="2"/>
      <c r="K398" s="2"/>
      <c r="U398" s="45"/>
      <c r="V398" s="45"/>
      <c r="AB398" s="45"/>
      <c r="AJ398" s="7"/>
      <c r="AU398" s="7"/>
      <c r="BP398" s="34"/>
      <c r="BS398" s="21"/>
      <c r="BW398" s="45"/>
      <c r="BX398" s="45"/>
      <c r="CJ398" s="16"/>
      <c r="CK398" s="2"/>
    </row>
    <row r="399" spans="1:89" ht="12.75">
      <c r="A399" s="18"/>
      <c r="E399" s="14"/>
      <c r="F399" s="33"/>
      <c r="G399" s="2"/>
      <c r="K399" s="2"/>
      <c r="U399" s="45"/>
      <c r="V399" s="45"/>
      <c r="AB399" s="45"/>
      <c r="AJ399" s="7"/>
      <c r="AU399" s="7"/>
      <c r="BP399" s="34"/>
      <c r="BS399" s="21"/>
      <c r="BW399" s="45"/>
      <c r="BX399" s="45"/>
      <c r="CJ399" s="16"/>
      <c r="CK399" s="2"/>
    </row>
    <row r="400" spans="1:89" ht="12.75">
      <c r="A400" s="18"/>
      <c r="E400" s="14"/>
      <c r="F400" s="33"/>
      <c r="G400" s="2"/>
      <c r="K400" s="2"/>
      <c r="U400" s="45"/>
      <c r="V400" s="45"/>
      <c r="AB400" s="45"/>
      <c r="AJ400" s="7"/>
      <c r="AY400" s="7"/>
      <c r="BP400" s="34"/>
      <c r="BS400" s="21"/>
      <c r="BW400" s="45"/>
      <c r="BX400" s="45"/>
      <c r="CJ400" s="16"/>
      <c r="CK400" s="2"/>
    </row>
    <row r="401" spans="1:89" ht="12.75">
      <c r="A401" s="18"/>
      <c r="E401" s="14"/>
      <c r="F401" s="33"/>
      <c r="G401" s="2"/>
      <c r="K401" s="2"/>
      <c r="U401" s="45"/>
      <c r="V401" s="45"/>
      <c r="AB401" s="45"/>
      <c r="AJ401" s="7"/>
      <c r="AZ401" s="7"/>
      <c r="BP401" s="34"/>
      <c r="BS401" s="21"/>
      <c r="BW401" s="45"/>
      <c r="BX401" s="45"/>
      <c r="CJ401" s="16"/>
      <c r="CK401" s="2"/>
    </row>
    <row r="402" spans="1:89" ht="12.75">
      <c r="A402" s="18"/>
      <c r="E402" s="14"/>
      <c r="F402" s="33"/>
      <c r="G402" s="2"/>
      <c r="K402" s="2"/>
      <c r="U402" s="45"/>
      <c r="V402" s="45"/>
      <c r="AB402" s="45"/>
      <c r="AJ402" s="7"/>
      <c r="AX402" s="7"/>
      <c r="BP402" s="34"/>
      <c r="BS402" s="21"/>
      <c r="BW402" s="45"/>
      <c r="BX402" s="45"/>
      <c r="CJ402" s="16"/>
      <c r="CK402" s="2"/>
    </row>
    <row r="403" spans="1:89" ht="12.75">
      <c r="A403" s="18"/>
      <c r="E403" s="14"/>
      <c r="F403" s="33"/>
      <c r="G403" s="2"/>
      <c r="K403" s="2"/>
      <c r="U403" s="45"/>
      <c r="V403" s="45"/>
      <c r="AB403" s="45"/>
      <c r="AJ403" s="7"/>
      <c r="BB403" s="7"/>
      <c r="BP403" s="34"/>
      <c r="BS403" s="21"/>
      <c r="BW403" s="45"/>
      <c r="BX403" s="45"/>
      <c r="CJ403" s="16"/>
      <c r="CK403" s="2"/>
    </row>
    <row r="404" spans="1:89" ht="12.75">
      <c r="A404" s="18"/>
      <c r="E404" s="14"/>
      <c r="F404" s="33"/>
      <c r="G404" s="2"/>
      <c r="K404" s="2"/>
      <c r="U404" s="45"/>
      <c r="V404" s="45"/>
      <c r="AB404" s="45"/>
      <c r="AJ404" s="7"/>
      <c r="BB404" s="7"/>
      <c r="BP404" s="34"/>
      <c r="BS404" s="21"/>
      <c r="BW404" s="45"/>
      <c r="BX404" s="45"/>
      <c r="CJ404" s="16"/>
      <c r="CK404" s="2"/>
    </row>
    <row r="405" spans="1:89" ht="12.75">
      <c r="A405" s="18"/>
      <c r="E405" s="14"/>
      <c r="F405" s="33"/>
      <c r="G405" s="2"/>
      <c r="K405" s="2"/>
      <c r="BS405" s="21"/>
      <c r="CJ405" s="16"/>
      <c r="CK405" s="2"/>
    </row>
    <row r="406" spans="1:89" ht="12.75">
      <c r="A406" s="18"/>
      <c r="E406" s="14"/>
      <c r="F406" s="33"/>
      <c r="G406" s="2"/>
      <c r="K406" s="2"/>
      <c r="U406" s="45"/>
      <c r="V406" s="45"/>
      <c r="AB406" s="45"/>
      <c r="AJ406" s="7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BG406" s="7"/>
      <c r="BP406" s="34"/>
      <c r="BS406" s="21"/>
      <c r="BW406" s="45"/>
      <c r="BX406" s="45"/>
      <c r="CJ406" s="16"/>
      <c r="CK406" s="2"/>
    </row>
    <row r="407" spans="1:89" ht="12.75">
      <c r="A407" s="18"/>
      <c r="E407" s="14"/>
      <c r="F407" s="33"/>
      <c r="G407" s="2"/>
      <c r="K407" s="2"/>
      <c r="U407" s="45"/>
      <c r="V407" s="45"/>
      <c r="AB407" s="45"/>
      <c r="AJ407" s="7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W407" s="7"/>
      <c r="BD407" s="7"/>
      <c r="BE407" s="19"/>
      <c r="BF407" s="19"/>
      <c r="BP407" s="34"/>
      <c r="BS407" s="21"/>
      <c r="BW407" s="45"/>
      <c r="BX407" s="45"/>
      <c r="CJ407" s="16"/>
      <c r="CK407" s="2"/>
    </row>
    <row r="408" spans="1:89" ht="12.75">
      <c r="A408" s="18"/>
      <c r="E408" s="14"/>
      <c r="F408" s="33"/>
      <c r="G408" s="2"/>
      <c r="K408" s="2"/>
      <c r="U408" s="45"/>
      <c r="V408" s="45"/>
      <c r="AB408" s="45"/>
      <c r="AJ408" s="7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BG408" s="7"/>
      <c r="BP408" s="34"/>
      <c r="BS408" s="21"/>
      <c r="BW408" s="45"/>
      <c r="BX408" s="45"/>
      <c r="CJ408" s="16"/>
      <c r="CK408" s="2"/>
    </row>
    <row r="409" spans="1:89" ht="12.75">
      <c r="A409" s="18"/>
      <c r="E409" s="14"/>
      <c r="F409" s="33"/>
      <c r="G409" s="2"/>
      <c r="K409" s="2"/>
      <c r="U409" s="45"/>
      <c r="V409" s="45"/>
      <c r="AB409" s="45"/>
      <c r="AJ409" s="7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BG409" s="7"/>
      <c r="BP409" s="34"/>
      <c r="BS409" s="21"/>
      <c r="BW409" s="45"/>
      <c r="BX409" s="45"/>
      <c r="CJ409" s="16"/>
      <c r="CK409" s="2"/>
    </row>
    <row r="410" spans="1:89" ht="12.75">
      <c r="A410" s="18"/>
      <c r="E410" s="14"/>
      <c r="F410" s="33"/>
      <c r="G410" s="2"/>
      <c r="K410" s="2"/>
      <c r="U410" s="45"/>
      <c r="V410" s="45"/>
      <c r="AB410" s="45"/>
      <c r="AJ410" s="7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BG410" s="7"/>
      <c r="BP410" s="34"/>
      <c r="BS410" s="21"/>
      <c r="BW410" s="45"/>
      <c r="BX410" s="45"/>
      <c r="CJ410" s="16"/>
      <c r="CK410" s="2"/>
    </row>
    <row r="411" spans="1:89" ht="12.75">
      <c r="A411" s="18"/>
      <c r="E411" s="14"/>
      <c r="F411" s="33"/>
      <c r="G411" s="2"/>
      <c r="K411" s="2"/>
      <c r="U411" s="45"/>
      <c r="V411" s="45"/>
      <c r="AB411" s="45"/>
      <c r="AJ411" s="7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BG411" s="7"/>
      <c r="BP411" s="34"/>
      <c r="BS411" s="21"/>
      <c r="BW411" s="45"/>
      <c r="BX411" s="45"/>
      <c r="CJ411" s="16"/>
      <c r="CK411" s="2"/>
    </row>
    <row r="412" spans="1:89" ht="12.75">
      <c r="A412" s="18"/>
      <c r="E412" s="14"/>
      <c r="F412" s="33"/>
      <c r="G412" s="2"/>
      <c r="K412" s="2"/>
      <c r="U412" s="45"/>
      <c r="V412" s="45"/>
      <c r="AB412" s="45"/>
      <c r="AJ412" s="7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BC412" s="7"/>
      <c r="BP412" s="34"/>
      <c r="BS412" s="21"/>
      <c r="BW412" s="45"/>
      <c r="BX412" s="45"/>
      <c r="CJ412" s="16"/>
      <c r="CK412" s="2"/>
    </row>
    <row r="413" spans="1:89" ht="12.75">
      <c r="A413" s="18"/>
      <c r="E413" s="14"/>
      <c r="F413" s="33"/>
      <c r="G413" s="2"/>
      <c r="K413" s="2"/>
      <c r="U413" s="45"/>
      <c r="V413" s="45"/>
      <c r="AB413" s="45"/>
      <c r="AJ413" s="7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BP413" s="34"/>
      <c r="BS413" s="21"/>
      <c r="BW413" s="45"/>
      <c r="BX413" s="45"/>
      <c r="CJ413" s="16"/>
      <c r="CK413" s="2"/>
    </row>
    <row r="414" spans="1:89" ht="12.75">
      <c r="A414" s="18"/>
      <c r="E414" s="14"/>
      <c r="F414" s="33"/>
      <c r="G414" s="2"/>
      <c r="K414" s="2"/>
      <c r="U414" s="45"/>
      <c r="V414" s="45"/>
      <c r="AB414" s="45"/>
      <c r="AJ414" s="7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BP414" s="34"/>
      <c r="BS414" s="21"/>
      <c r="BW414" s="45"/>
      <c r="BX414" s="45"/>
      <c r="CJ414" s="16"/>
      <c r="CK414" s="2"/>
    </row>
    <row r="415" spans="1:89" ht="12.75">
      <c r="A415" s="18"/>
      <c r="E415" s="14"/>
      <c r="F415" s="33"/>
      <c r="G415" s="2"/>
      <c r="K415" s="2"/>
      <c r="U415" s="45"/>
      <c r="V415" s="45"/>
      <c r="AB415" s="45"/>
      <c r="AJ415" s="7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BS415" s="21"/>
      <c r="CK415" s="2"/>
    </row>
    <row r="416" spans="1:89" ht="12.75">
      <c r="A416" s="18"/>
      <c r="E416" s="14"/>
      <c r="F416" s="33"/>
      <c r="G416" s="2"/>
      <c r="K416" s="2"/>
      <c r="U416" s="45"/>
      <c r="V416" s="45"/>
      <c r="AB416" s="45"/>
      <c r="AJ416" s="7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Y416" s="7"/>
      <c r="BP416" s="34"/>
      <c r="BS416" s="21"/>
      <c r="BW416" s="45"/>
      <c r="BX416" s="45"/>
      <c r="CJ416" s="16"/>
      <c r="CK416" s="2"/>
    </row>
    <row r="417" spans="1:89" ht="12.75">
      <c r="A417" s="18"/>
      <c r="E417" s="14"/>
      <c r="F417" s="33"/>
      <c r="G417" s="2"/>
      <c r="K417" s="2"/>
      <c r="U417" s="45"/>
      <c r="V417" s="45"/>
      <c r="AB417" s="45"/>
      <c r="AJ417" s="7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Z417" s="7"/>
      <c r="BP417" s="34"/>
      <c r="BS417" s="21"/>
      <c r="BW417" s="45"/>
      <c r="BX417" s="45"/>
      <c r="CJ417" s="16"/>
      <c r="CK417" s="2"/>
    </row>
    <row r="418" spans="1:89" ht="12.75">
      <c r="A418" s="18"/>
      <c r="E418" s="14"/>
      <c r="F418" s="33"/>
      <c r="G418" s="2"/>
      <c r="K418" s="2"/>
      <c r="U418" s="45"/>
      <c r="V418" s="45"/>
      <c r="AB418" s="45"/>
      <c r="AJ418" s="7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BB418" s="7"/>
      <c r="BP418" s="34"/>
      <c r="BS418" s="21"/>
      <c r="BW418" s="45"/>
      <c r="BX418" s="45"/>
      <c r="CJ418" s="16"/>
      <c r="CK418" s="2"/>
    </row>
    <row r="419" spans="1:89" ht="12.75">
      <c r="A419" s="18"/>
      <c r="E419" s="14"/>
      <c r="F419" s="33"/>
      <c r="G419" s="2"/>
      <c r="K419" s="2"/>
      <c r="U419" s="45"/>
      <c r="V419" s="45"/>
      <c r="AB419" s="45"/>
      <c r="AJ419" s="7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BB419" s="7"/>
      <c r="BP419" s="34"/>
      <c r="BS419" s="21"/>
      <c r="BW419" s="45"/>
      <c r="BX419" s="45"/>
      <c r="CJ419" s="16"/>
      <c r="CK419" s="2"/>
    </row>
    <row r="420" spans="1:89" ht="12.75">
      <c r="A420" s="18"/>
      <c r="E420" s="14"/>
      <c r="F420" s="33"/>
      <c r="G420" s="2"/>
      <c r="K420" s="2"/>
      <c r="U420" s="45"/>
      <c r="V420" s="45"/>
      <c r="AB420" s="45"/>
      <c r="AJ420" s="7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BG420" s="7"/>
      <c r="BP420" s="34"/>
      <c r="BS420" s="21"/>
      <c r="BW420" s="45"/>
      <c r="BX420" s="45"/>
      <c r="CJ420" s="16"/>
      <c r="CK420" s="2"/>
    </row>
    <row r="421" spans="1:89" ht="12.75">
      <c r="A421" s="18"/>
      <c r="E421" s="14"/>
      <c r="F421" s="33"/>
      <c r="G421" s="2"/>
      <c r="K421" s="2"/>
      <c r="U421" s="45"/>
      <c r="V421" s="45"/>
      <c r="AB421" s="45"/>
      <c r="AJ421" s="7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BG421" s="7"/>
      <c r="BP421" s="34"/>
      <c r="BS421" s="21"/>
      <c r="BW421" s="45"/>
      <c r="BX421" s="45"/>
      <c r="CJ421" s="16"/>
      <c r="CK421" s="2"/>
    </row>
    <row r="422" spans="1:89" ht="12.75">
      <c r="A422" s="18"/>
      <c r="E422" s="14"/>
      <c r="F422" s="33"/>
      <c r="G422" s="2"/>
      <c r="K422" s="2"/>
      <c r="U422" s="45"/>
      <c r="V422" s="45"/>
      <c r="AB422" s="45"/>
      <c r="AJ422" s="7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BG422" s="7"/>
      <c r="BP422" s="34"/>
      <c r="BS422" s="21"/>
      <c r="BW422" s="45"/>
      <c r="BX422" s="45"/>
      <c r="CJ422" s="16"/>
      <c r="CK422" s="2"/>
    </row>
    <row r="423" spans="1:89" ht="12.75">
      <c r="A423" s="18"/>
      <c r="E423" s="14"/>
      <c r="F423" s="33"/>
      <c r="G423" s="2"/>
      <c r="K423" s="2"/>
      <c r="U423" s="45"/>
      <c r="V423" s="45"/>
      <c r="AB423" s="45"/>
      <c r="AJ423" s="7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BG423" s="7"/>
      <c r="BP423" s="34"/>
      <c r="BS423" s="21"/>
      <c r="BW423" s="45"/>
      <c r="BX423" s="45"/>
      <c r="CJ423" s="16"/>
      <c r="CK423" s="2"/>
    </row>
    <row r="424" spans="1:89" ht="12.75">
      <c r="A424" s="18"/>
      <c r="E424" s="14"/>
      <c r="F424" s="33"/>
      <c r="G424" s="2"/>
      <c r="K424" s="2"/>
      <c r="AB424" s="4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BS424" s="21"/>
      <c r="CK424" s="2"/>
    </row>
    <row r="425" spans="1:89" ht="12.75">
      <c r="A425" s="18"/>
      <c r="E425" s="14"/>
      <c r="F425" s="33"/>
      <c r="G425" s="2"/>
      <c r="K425" s="2"/>
      <c r="U425" s="45"/>
      <c r="V425" s="45"/>
      <c r="AB425" s="45"/>
      <c r="AJ425" s="7"/>
      <c r="AK425" s="35"/>
      <c r="AL425" s="35"/>
      <c r="AM425" s="35"/>
      <c r="AN425" s="35"/>
      <c r="AO425" s="35"/>
      <c r="AP425" s="35"/>
      <c r="AQ425" s="35"/>
      <c r="AR425" s="35"/>
      <c r="AS425" s="35"/>
      <c r="AT425" s="35"/>
      <c r="BG425" s="7"/>
      <c r="BP425" s="34"/>
      <c r="BS425" s="21"/>
      <c r="BW425" s="45"/>
      <c r="BX425" s="45"/>
      <c r="CJ425" s="16"/>
      <c r="CK425" s="2"/>
    </row>
    <row r="426" spans="1:89" ht="12.75">
      <c r="A426" s="18"/>
      <c r="E426" s="14"/>
      <c r="F426" s="33"/>
      <c r="G426" s="2"/>
      <c r="K426" s="2"/>
      <c r="U426" s="45"/>
      <c r="V426" s="45"/>
      <c r="AB426" s="45"/>
      <c r="AJ426" s="7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BG426" s="7"/>
      <c r="BP426" s="34"/>
      <c r="BS426" s="21"/>
      <c r="BW426" s="45"/>
      <c r="BX426" s="45"/>
      <c r="CJ426" s="16"/>
      <c r="CK426" s="2"/>
    </row>
    <row r="427" spans="1:89" ht="12.75">
      <c r="A427" s="18"/>
      <c r="E427" s="14"/>
      <c r="F427" s="33"/>
      <c r="G427" s="2"/>
      <c r="K427" s="2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BP427" s="34"/>
      <c r="BS427" s="21"/>
      <c r="BW427" s="45"/>
      <c r="BX427" s="45"/>
      <c r="CK427" s="2"/>
    </row>
    <row r="428" spans="1:89" ht="12.75">
      <c r="A428" s="18"/>
      <c r="E428" s="14"/>
      <c r="F428" s="33"/>
      <c r="G428" s="2"/>
      <c r="K428" s="2"/>
      <c r="U428" s="45"/>
      <c r="V428" s="45"/>
      <c r="AB428" s="45"/>
      <c r="AJ428" s="7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7"/>
      <c r="BP428" s="34"/>
      <c r="BS428" s="21"/>
      <c r="BW428" s="45"/>
      <c r="BX428" s="45"/>
      <c r="CJ428" s="16"/>
      <c r="CK428" s="2"/>
    </row>
    <row r="429" spans="1:89" ht="12.75">
      <c r="A429" s="18"/>
      <c r="E429" s="14"/>
      <c r="F429" s="33"/>
      <c r="G429" s="2"/>
      <c r="K429" s="2"/>
      <c r="U429" s="45"/>
      <c r="V429" s="45"/>
      <c r="AB429" s="45"/>
      <c r="AJ429" s="7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7"/>
      <c r="BP429" s="34"/>
      <c r="BS429" s="21"/>
      <c r="BT429" s="45"/>
      <c r="BU429" s="45"/>
      <c r="BV429" s="38"/>
      <c r="BW429" s="45"/>
      <c r="BX429" s="45"/>
      <c r="CJ429" s="16"/>
      <c r="CK429" s="2"/>
    </row>
    <row r="430" spans="1:89" ht="12.75">
      <c r="A430" s="18"/>
      <c r="E430" s="14"/>
      <c r="F430" s="33"/>
      <c r="G430" s="2"/>
      <c r="K430" s="2"/>
      <c r="U430" s="45"/>
      <c r="V430" s="45"/>
      <c r="AB430" s="45"/>
      <c r="AJ430" s="7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BB430" s="7"/>
      <c r="BP430" s="34"/>
      <c r="BS430" s="21"/>
      <c r="BW430" s="45"/>
      <c r="BX430" s="45"/>
      <c r="CJ430" s="16"/>
      <c r="CK430" s="2"/>
    </row>
    <row r="431" spans="1:89" ht="12.75">
      <c r="A431" s="18"/>
      <c r="E431" s="14"/>
      <c r="F431" s="33"/>
      <c r="G431" s="2"/>
      <c r="K431" s="2"/>
      <c r="U431" s="45"/>
      <c r="V431" s="45"/>
      <c r="AB431" s="45"/>
      <c r="AJ431" s="7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BB431" s="7"/>
      <c r="BP431" s="34"/>
      <c r="BS431" s="21"/>
      <c r="BW431" s="45"/>
      <c r="BX431" s="45"/>
      <c r="CJ431" s="16"/>
      <c r="CK431" s="2"/>
    </row>
    <row r="432" spans="1:89" ht="12.75">
      <c r="A432" s="18"/>
      <c r="E432" s="14"/>
      <c r="F432" s="33"/>
      <c r="G432" s="2"/>
      <c r="K432" s="2"/>
      <c r="U432" s="45"/>
      <c r="V432" s="45"/>
      <c r="AB432" s="45"/>
      <c r="AJ432" s="7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W432" s="7"/>
      <c r="BD432" s="7"/>
      <c r="BE432" s="19"/>
      <c r="BF432" s="19"/>
      <c r="BP432" s="34"/>
      <c r="BS432" s="21"/>
      <c r="BW432" s="45"/>
      <c r="BX432" s="45"/>
      <c r="CJ432" s="16"/>
      <c r="CK432" s="2"/>
    </row>
    <row r="433" spans="1:89" ht="12.75">
      <c r="A433" s="18"/>
      <c r="E433" s="14"/>
      <c r="F433" s="33"/>
      <c r="G433" s="2"/>
      <c r="K433" s="2"/>
      <c r="U433" s="45"/>
      <c r="V433" s="45"/>
      <c r="AB433" s="45"/>
      <c r="AJ433" s="7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W433" s="7"/>
      <c r="BD433" s="7"/>
      <c r="BE433" s="19"/>
      <c r="BF433" s="19"/>
      <c r="BP433" s="34"/>
      <c r="BS433" s="21"/>
      <c r="BW433" s="45"/>
      <c r="BX433" s="45"/>
      <c r="CJ433" s="16"/>
      <c r="CK433" s="2"/>
    </row>
    <row r="434" spans="1:89" ht="12.75">
      <c r="A434" s="18"/>
      <c r="E434" s="14"/>
      <c r="F434" s="33"/>
      <c r="G434" s="2"/>
      <c r="K434" s="2"/>
      <c r="U434" s="45"/>
      <c r="V434" s="4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BP434" s="34"/>
      <c r="BS434" s="21"/>
      <c r="BW434" s="45"/>
      <c r="BX434" s="45"/>
      <c r="CK434" s="2"/>
    </row>
    <row r="435" spans="1:89" ht="12.75">
      <c r="A435" s="18"/>
      <c r="E435" s="14"/>
      <c r="F435" s="33"/>
      <c r="G435" s="2"/>
      <c r="K435" s="2"/>
      <c r="U435" s="45"/>
      <c r="V435" s="45"/>
      <c r="AB435" s="45"/>
      <c r="AJ435" s="7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BG435" s="7"/>
      <c r="BP435" s="34"/>
      <c r="BS435" s="21"/>
      <c r="BW435" s="45"/>
      <c r="BX435" s="45"/>
      <c r="CJ435" s="16"/>
      <c r="CK435" s="2"/>
    </row>
    <row r="436" spans="1:89" ht="12.75">
      <c r="A436" s="18"/>
      <c r="E436" s="14"/>
      <c r="F436" s="33"/>
      <c r="G436" s="2"/>
      <c r="K436" s="2"/>
      <c r="U436" s="45"/>
      <c r="V436" s="45"/>
      <c r="AB436" s="45"/>
      <c r="AJ436" s="7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BG436" s="7"/>
      <c r="BP436" s="34"/>
      <c r="BS436" s="21"/>
      <c r="BW436" s="45"/>
      <c r="BX436" s="45"/>
      <c r="CJ436" s="16"/>
      <c r="CK436" s="2"/>
    </row>
    <row r="437" spans="1:89" ht="12.75">
      <c r="A437" s="18"/>
      <c r="E437" s="14"/>
      <c r="F437" s="33"/>
      <c r="G437" s="2"/>
      <c r="K437" s="2"/>
      <c r="U437" s="45"/>
      <c r="V437" s="45"/>
      <c r="AB437" s="45"/>
      <c r="AJ437" s="7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Y437" s="7"/>
      <c r="BP437" s="34"/>
      <c r="BS437" s="21"/>
      <c r="BW437" s="45"/>
      <c r="BX437" s="45"/>
      <c r="CJ437" s="16"/>
      <c r="CK437" s="2"/>
    </row>
    <row r="438" spans="1:89" ht="12.75">
      <c r="A438" s="18"/>
      <c r="E438" s="14"/>
      <c r="F438" s="33"/>
      <c r="G438" s="2"/>
      <c r="K438" s="2"/>
      <c r="U438" s="45"/>
      <c r="V438" s="45"/>
      <c r="AB438" s="45"/>
      <c r="AJ438" s="7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Z438" s="7"/>
      <c r="BP438" s="34"/>
      <c r="BS438" s="21"/>
      <c r="BW438" s="45"/>
      <c r="BX438" s="45"/>
      <c r="CJ438" s="16"/>
      <c r="CK438" s="2"/>
    </row>
    <row r="439" spans="1:89" ht="12.75">
      <c r="A439" s="18"/>
      <c r="E439" s="14"/>
      <c r="F439" s="33"/>
      <c r="G439" s="2"/>
      <c r="K439" s="2"/>
      <c r="U439" s="45"/>
      <c r="V439" s="45"/>
      <c r="AB439" s="45"/>
      <c r="AJ439" s="7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BG439" s="7"/>
      <c r="BP439" s="34"/>
      <c r="BS439" s="21"/>
      <c r="BW439" s="45"/>
      <c r="BX439" s="45"/>
      <c r="CJ439" s="16"/>
      <c r="CK439" s="2"/>
    </row>
    <row r="440" spans="1:89" ht="12.75">
      <c r="A440" s="18"/>
      <c r="E440" s="14"/>
      <c r="F440" s="33"/>
      <c r="G440" s="2"/>
      <c r="K440" s="2"/>
      <c r="U440" s="45"/>
      <c r="V440" s="45"/>
      <c r="AB440" s="45"/>
      <c r="AJ440" s="7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BG440" s="7"/>
      <c r="BP440" s="34"/>
      <c r="BS440" s="21"/>
      <c r="BW440" s="45"/>
      <c r="BX440" s="45"/>
      <c r="CJ440" s="16"/>
      <c r="CK440" s="2"/>
    </row>
    <row r="441" spans="1:89" ht="12.75">
      <c r="A441" s="18"/>
      <c r="E441" s="14"/>
      <c r="F441" s="33"/>
      <c r="G441" s="2"/>
      <c r="K441" s="2"/>
      <c r="U441" s="45"/>
      <c r="V441" s="45"/>
      <c r="AB441" s="45"/>
      <c r="AJ441" s="7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BP441" s="34"/>
      <c r="BS441" s="21"/>
      <c r="BW441" s="45"/>
      <c r="BX441" s="45"/>
      <c r="CJ441" s="16"/>
      <c r="CK441" s="2"/>
    </row>
    <row r="442" spans="1:89" ht="12.75">
      <c r="A442" s="18"/>
      <c r="E442" s="14"/>
      <c r="F442" s="33"/>
      <c r="G442" s="2"/>
      <c r="K442" s="2"/>
      <c r="U442" s="45"/>
      <c r="V442" s="45"/>
      <c r="AB442" s="45"/>
      <c r="AJ442" s="7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BP442" s="34"/>
      <c r="BS442" s="21"/>
      <c r="BW442" s="45"/>
      <c r="BX442" s="45"/>
      <c r="CJ442" s="16"/>
      <c r="CK442" s="2"/>
    </row>
    <row r="443" spans="1:89" ht="12.75">
      <c r="A443" s="18"/>
      <c r="E443" s="14"/>
      <c r="F443" s="33"/>
      <c r="G443" s="2"/>
      <c r="K443" s="2"/>
      <c r="U443" s="45"/>
      <c r="V443" s="45"/>
      <c r="AB443" s="45"/>
      <c r="AJ443" s="7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X443" s="7"/>
      <c r="BP443" s="34"/>
      <c r="BS443" s="21"/>
      <c r="BW443" s="45"/>
      <c r="BX443" s="45"/>
      <c r="CJ443" s="16"/>
      <c r="CK443" s="2"/>
    </row>
    <row r="444" spans="1:89" ht="12.75">
      <c r="A444" s="18"/>
      <c r="E444" s="14"/>
      <c r="F444" s="33"/>
      <c r="G444" s="2"/>
      <c r="K444" s="2"/>
      <c r="U444" s="45"/>
      <c r="V444" s="45"/>
      <c r="AJ444" s="7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BP444" s="34"/>
      <c r="BS444" s="21"/>
      <c r="BW444" s="45"/>
      <c r="BX444" s="45"/>
      <c r="CK444" s="2"/>
    </row>
    <row r="445" spans="1:89" ht="12.75">
      <c r="A445" s="18"/>
      <c r="E445" s="14"/>
      <c r="F445" s="33"/>
      <c r="G445" s="2"/>
      <c r="K445" s="2"/>
      <c r="U445" s="45"/>
      <c r="V445" s="45"/>
      <c r="AB445" s="45"/>
      <c r="AJ445" s="7"/>
      <c r="BG445" s="7"/>
      <c r="BP445" s="34"/>
      <c r="BS445" s="21"/>
      <c r="BW445" s="45"/>
      <c r="BX445" s="45"/>
      <c r="CJ445" s="16"/>
      <c r="CK445" s="2"/>
    </row>
    <row r="446" spans="1:89" ht="12.75">
      <c r="A446" s="18"/>
      <c r="E446" s="14"/>
      <c r="F446" s="33"/>
      <c r="G446" s="2"/>
      <c r="K446" s="2"/>
      <c r="U446" s="45"/>
      <c r="V446" s="45"/>
      <c r="AB446" s="45"/>
      <c r="AJ446" s="7"/>
      <c r="BG446" s="7"/>
      <c r="BP446" s="34"/>
      <c r="BS446" s="21"/>
      <c r="BW446" s="45"/>
      <c r="BX446" s="45"/>
      <c r="CJ446" s="16"/>
      <c r="CK446" s="2"/>
    </row>
    <row r="447" spans="1:89" ht="12.75">
      <c r="A447" s="18"/>
      <c r="E447" s="14"/>
      <c r="F447" s="33"/>
      <c r="G447" s="2"/>
      <c r="K447" s="2"/>
      <c r="U447" s="45"/>
      <c r="V447" s="45"/>
      <c r="AB447" s="45"/>
      <c r="AJ447" s="7"/>
      <c r="BG447" s="7"/>
      <c r="BP447" s="34"/>
      <c r="BS447" s="21"/>
      <c r="BW447" s="45"/>
      <c r="BX447" s="45"/>
      <c r="CJ447" s="16"/>
      <c r="CK447" s="2"/>
    </row>
    <row r="448" spans="1:89" ht="12.75">
      <c r="A448" s="18"/>
      <c r="E448" s="14"/>
      <c r="F448" s="33"/>
      <c r="G448" s="2"/>
      <c r="K448" s="2"/>
      <c r="U448" s="45"/>
      <c r="V448" s="45"/>
      <c r="AB448" s="45"/>
      <c r="AJ448" s="7"/>
      <c r="AW448" s="7"/>
      <c r="BP448" s="34"/>
      <c r="BS448" s="21"/>
      <c r="BW448" s="45"/>
      <c r="BX448" s="45"/>
      <c r="CJ448" s="16"/>
      <c r="CK448" s="2"/>
    </row>
    <row r="449" spans="1:89" ht="12.75">
      <c r="A449" s="18"/>
      <c r="E449" s="14"/>
      <c r="F449" s="33"/>
      <c r="G449" s="2"/>
      <c r="K449" s="2"/>
      <c r="U449" s="45"/>
      <c r="V449" s="45"/>
      <c r="AB449" s="45"/>
      <c r="AJ449" s="7"/>
      <c r="BD449" s="7"/>
      <c r="BE449" s="19"/>
      <c r="BF449" s="19"/>
      <c r="BP449" s="34"/>
      <c r="BS449" s="21"/>
      <c r="BW449" s="45"/>
      <c r="BX449" s="45"/>
      <c r="CJ449" s="16"/>
      <c r="CK449" s="2"/>
    </row>
    <row r="450" spans="1:89" ht="12.75">
      <c r="A450" s="18"/>
      <c r="E450" s="14"/>
      <c r="F450" s="33"/>
      <c r="G450" s="2"/>
      <c r="K450" s="2"/>
      <c r="U450" s="45"/>
      <c r="V450" s="45"/>
      <c r="AB450" s="45"/>
      <c r="AJ450" s="7"/>
      <c r="BD450" s="7"/>
      <c r="BE450" s="19"/>
      <c r="BF450" s="19"/>
      <c r="BP450" s="34"/>
      <c r="BS450" s="21"/>
      <c r="BW450" s="45"/>
      <c r="BX450" s="45"/>
      <c r="CJ450" s="16"/>
      <c r="CK450" s="2"/>
    </row>
    <row r="451" spans="1:89" ht="12.75">
      <c r="A451" s="18"/>
      <c r="E451" s="14"/>
      <c r="F451" s="33"/>
      <c r="G451" s="2"/>
      <c r="K451" s="2"/>
      <c r="U451" s="45"/>
      <c r="V451" s="4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BP451" s="34"/>
      <c r="BS451" s="21"/>
      <c r="BW451" s="45"/>
      <c r="BX451" s="45"/>
      <c r="CJ451" s="16"/>
      <c r="CK451" s="2"/>
    </row>
    <row r="452" spans="1:89" ht="12.75">
      <c r="A452" s="18"/>
      <c r="E452" s="14"/>
      <c r="F452" s="33"/>
      <c r="G452" s="2"/>
      <c r="K452" s="2"/>
      <c r="U452" s="45"/>
      <c r="V452" s="4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BP452" s="34"/>
      <c r="BS452" s="21"/>
      <c r="BW452" s="45"/>
      <c r="BX452" s="45"/>
      <c r="CJ452" s="16"/>
      <c r="CK452" s="2"/>
    </row>
    <row r="453" spans="1:89" ht="12.75">
      <c r="A453" s="18"/>
      <c r="E453" s="14"/>
      <c r="F453" s="33"/>
      <c r="G453" s="2"/>
      <c r="K453" s="2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BP453" s="34"/>
      <c r="BS453" s="21"/>
      <c r="BW453" s="45"/>
      <c r="BX453" s="45"/>
      <c r="CJ453" s="16"/>
      <c r="CK453" s="2"/>
    </row>
    <row r="454" spans="1:89" ht="12.75">
      <c r="A454" s="18"/>
      <c r="E454" s="14"/>
      <c r="F454" s="33"/>
      <c r="G454" s="2"/>
      <c r="K454" s="2"/>
      <c r="CK454" s="2"/>
    </row>
    <row r="455" spans="1:89" ht="12.75">
      <c r="A455" s="18"/>
      <c r="E455" s="14"/>
      <c r="F455" s="33"/>
      <c r="G455" s="2"/>
      <c r="K455" s="2"/>
      <c r="CK455" s="2"/>
    </row>
    <row r="456" spans="1:89" ht="12.75">
      <c r="A456" s="18"/>
      <c r="E456" s="14"/>
      <c r="F456" s="33"/>
      <c r="G456" s="2"/>
      <c r="K456" s="2"/>
      <c r="CK456" s="2"/>
    </row>
    <row r="457" spans="1:89" ht="12.75">
      <c r="A457" s="18"/>
      <c r="E457" s="14"/>
      <c r="F457" s="33"/>
      <c r="G457" s="2"/>
      <c r="K457" s="2"/>
      <c r="CK457" s="2"/>
    </row>
    <row r="458" spans="1:89" ht="12.75">
      <c r="A458" s="18"/>
      <c r="E458" s="14"/>
      <c r="F458" s="33"/>
      <c r="G458" s="2"/>
      <c r="K458" s="2"/>
      <c r="CK458" s="2"/>
    </row>
    <row r="459" spans="1:89" ht="12.75">
      <c r="A459" s="18"/>
      <c r="E459" s="14"/>
      <c r="F459" s="33"/>
      <c r="G459" s="2"/>
      <c r="K459" s="2"/>
      <c r="CK459" s="2"/>
    </row>
    <row r="460" spans="1:89" ht="12.75">
      <c r="A460" s="18"/>
      <c r="E460" s="14"/>
      <c r="F460" s="33"/>
      <c r="G460" s="2"/>
      <c r="K460" s="2"/>
      <c r="CK460" s="2"/>
    </row>
    <row r="461" spans="1:89" ht="12.75">
      <c r="A461" s="18"/>
      <c r="E461" s="14"/>
      <c r="F461" s="33"/>
      <c r="G461" s="2"/>
      <c r="K461" s="2"/>
      <c r="CK461" s="2"/>
    </row>
    <row r="462" spans="1:89" ht="12.75">
      <c r="A462" s="18"/>
      <c r="E462" s="14"/>
      <c r="F462" s="33"/>
      <c r="G462" s="2"/>
      <c r="K462" s="2"/>
      <c r="CK462" s="2"/>
    </row>
    <row r="463" spans="1:89" ht="12.75">
      <c r="A463" s="18"/>
      <c r="E463" s="14"/>
      <c r="F463" s="33"/>
      <c r="G463" s="2"/>
      <c r="K463" s="2"/>
      <c r="CK463" s="2"/>
    </row>
    <row r="464" spans="1:89" ht="12.75">
      <c r="A464" s="18"/>
      <c r="E464" s="14"/>
      <c r="F464" s="33"/>
      <c r="G464" s="2"/>
      <c r="K464" s="2"/>
      <c r="CK464" s="2"/>
    </row>
    <row r="465" spans="1:89" ht="12.75">
      <c r="A465" s="18"/>
      <c r="E465" s="14"/>
      <c r="F465" s="33"/>
      <c r="G465" s="2"/>
      <c r="K465" s="2"/>
      <c r="CK465" s="2"/>
    </row>
    <row r="466" spans="1:89" ht="12.75">
      <c r="A466" s="18"/>
      <c r="E466" s="14"/>
      <c r="F466" s="33"/>
      <c r="G466" s="2"/>
      <c r="K466" s="2"/>
      <c r="CK466" s="2"/>
    </row>
    <row r="467" spans="1:89" ht="12.75">
      <c r="A467" s="18"/>
      <c r="E467" s="14"/>
      <c r="F467" s="33"/>
      <c r="G467" s="2"/>
      <c r="K467" s="2"/>
      <c r="CK467" s="2"/>
    </row>
    <row r="468" spans="1:89" ht="12.75">
      <c r="A468" s="18"/>
      <c r="E468" s="14"/>
      <c r="F468" s="33"/>
      <c r="G468" s="2"/>
      <c r="K468" s="2"/>
      <c r="CK468" s="2"/>
    </row>
    <row r="469" spans="1:89" ht="12.75">
      <c r="A469" s="18"/>
      <c r="E469" s="14"/>
      <c r="F469" s="33"/>
      <c r="G469" s="2"/>
      <c r="K469" s="2"/>
      <c r="CK469" s="2"/>
    </row>
    <row r="470" spans="1:89" ht="12.75">
      <c r="A470" s="18"/>
      <c r="E470" s="14"/>
      <c r="F470" s="33"/>
      <c r="G470" s="2"/>
      <c r="K470" s="2"/>
      <c r="CK470" s="2"/>
    </row>
    <row r="471" spans="1:89" ht="12.75">
      <c r="A471" s="18"/>
      <c r="E471" s="14"/>
      <c r="F471" s="33"/>
      <c r="G471" s="2"/>
      <c r="K471" s="2"/>
      <c r="CK471" s="2"/>
    </row>
    <row r="472" spans="1:89" ht="12.75">
      <c r="A472" s="18"/>
      <c r="E472" s="14"/>
      <c r="F472" s="33"/>
      <c r="G472" s="2"/>
      <c r="K472" s="2"/>
      <c r="CK472" s="2"/>
    </row>
    <row r="473" spans="1:89" ht="12.75">
      <c r="A473" s="18"/>
      <c r="E473" s="14"/>
      <c r="F473" s="33"/>
      <c r="G473" s="2"/>
      <c r="K473" s="2"/>
      <c r="CK473" s="2"/>
    </row>
    <row r="474" spans="1:89" ht="12.75">
      <c r="A474" s="18"/>
      <c r="E474" s="14"/>
      <c r="F474" s="33"/>
      <c r="G474" s="2"/>
      <c r="K474" s="2"/>
      <c r="CK474" s="2"/>
    </row>
    <row r="475" spans="1:11" ht="12.75">
      <c r="A475" s="18"/>
      <c r="E475" s="14"/>
      <c r="F475" s="33"/>
      <c r="G475" s="2"/>
      <c r="K475" s="2"/>
    </row>
    <row r="476" spans="1:11" ht="12.75">
      <c r="A476" s="18"/>
      <c r="E476" s="14"/>
      <c r="F476" s="33"/>
      <c r="G476" s="2"/>
      <c r="K476" s="2"/>
    </row>
    <row r="477" spans="1:11" ht="12.75">
      <c r="A477" s="18"/>
      <c r="E477" s="14"/>
      <c r="F477" s="33"/>
      <c r="G477" s="2"/>
      <c r="K477" s="2"/>
    </row>
    <row r="478" spans="1:11" ht="12.75">
      <c r="A478" s="18"/>
      <c r="E478" s="14"/>
      <c r="F478" s="33"/>
      <c r="G478" s="2"/>
      <c r="K478" s="2"/>
    </row>
    <row r="479" spans="1:11" ht="12.75">
      <c r="A479" s="18"/>
      <c r="E479" s="14"/>
      <c r="F479" s="33"/>
      <c r="G479" s="2"/>
      <c r="K479" s="2"/>
    </row>
    <row r="480" spans="1:11" ht="12.75">
      <c r="A480" s="18"/>
      <c r="E480" s="14"/>
      <c r="F480" s="33"/>
      <c r="G480" s="2"/>
      <c r="K480" s="2"/>
    </row>
    <row r="481" spans="1:11" ht="12.75">
      <c r="A481" s="18"/>
      <c r="E481" s="14"/>
      <c r="F481" s="33"/>
      <c r="G481" s="2"/>
      <c r="K481" s="2"/>
    </row>
    <row r="482" spans="1:11" ht="12.75">
      <c r="A482" s="18"/>
      <c r="E482" s="14"/>
      <c r="F482" s="33"/>
      <c r="G482" s="2"/>
      <c r="K482" s="2"/>
    </row>
    <row r="483" spans="1:11" ht="12.75">
      <c r="A483" s="18"/>
      <c r="E483" s="14"/>
      <c r="F483" s="33"/>
      <c r="G483" s="2"/>
      <c r="K483" s="2"/>
    </row>
    <row r="484" spans="1:11" ht="12.75">
      <c r="A484" s="18"/>
      <c r="E484" s="14"/>
      <c r="F484" s="33"/>
      <c r="G484" s="2"/>
      <c r="K484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43.28125" style="0" customWidth="1"/>
    <col min="10" max="10" width="7.57421875" style="0" customWidth="1"/>
    <col min="11" max="11" width="29.00390625" style="0" customWidth="1"/>
    <col min="12" max="12" width="6.28125" style="0" customWidth="1"/>
    <col min="13" max="13" width="7.57421875" style="0" customWidth="1"/>
    <col min="14" max="14" width="1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9.003906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37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7109375" style="0" customWidth="1"/>
    <col min="10" max="10" width="7.57421875" style="0" customWidth="1"/>
    <col min="11" max="11" width="24.85156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4.8515625" style="0" customWidth="1"/>
    <col min="90" max="90" width="9.421875" style="0" customWidth="1"/>
    <col min="91" max="91" width="13.421875" style="0" customWidth="1"/>
  </cols>
  <sheetData>
    <row r="1" spans="1:88" ht="12.75">
      <c r="A1" s="14"/>
      <c r="B1" s="18" t="s">
        <v>991</v>
      </c>
      <c r="C1" s="4"/>
      <c r="D1" s="3"/>
      <c r="E1" s="4" t="s">
        <v>442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89" ht="12.75">
      <c r="A9" s="15">
        <v>1418</v>
      </c>
      <c r="B9" s="14" t="s">
        <v>1076</v>
      </c>
      <c r="C9" s="14" t="s">
        <v>558</v>
      </c>
      <c r="D9" s="14" t="s">
        <v>255</v>
      </c>
      <c r="E9" s="14" t="s">
        <v>281</v>
      </c>
      <c r="F9" s="2" t="s">
        <v>71</v>
      </c>
      <c r="G9" s="2">
        <v>1</v>
      </c>
      <c r="H9" t="s">
        <v>991</v>
      </c>
      <c r="I9" t="s">
        <v>277</v>
      </c>
      <c r="J9" s="14" t="s">
        <v>326</v>
      </c>
      <c r="K9" s="2" t="s">
        <v>278</v>
      </c>
      <c r="L9" s="14" t="s">
        <v>999</v>
      </c>
      <c r="M9" s="14" t="s">
        <v>755</v>
      </c>
      <c r="N9" s="2" t="s">
        <v>1478</v>
      </c>
      <c r="O9" s="10">
        <v>2</v>
      </c>
      <c r="P9" s="10"/>
      <c r="Q9" s="10"/>
      <c r="R9" s="9"/>
      <c r="S9" s="9"/>
      <c r="T9" s="9"/>
      <c r="U9" s="45">
        <v>81</v>
      </c>
      <c r="V9" s="45">
        <v>40.5</v>
      </c>
      <c r="W9" s="23">
        <v>18</v>
      </c>
      <c r="X9" s="6">
        <v>3.375</v>
      </c>
      <c r="AB9" s="45"/>
      <c r="AC9">
        <v>6</v>
      </c>
      <c r="AD9">
        <v>15</v>
      </c>
      <c r="AE9">
        <v>0</v>
      </c>
      <c r="AF9" s="23">
        <v>6.75</v>
      </c>
      <c r="AG9">
        <v>3</v>
      </c>
      <c r="AH9">
        <v>7</v>
      </c>
      <c r="AI9">
        <v>6</v>
      </c>
      <c r="AJ9" s="23">
        <v>3.375</v>
      </c>
      <c r="AK9" s="23">
        <v>1.5</v>
      </c>
      <c r="AV9" s="7"/>
      <c r="BG9" s="23">
        <v>3.375</v>
      </c>
      <c r="BP9" s="34"/>
      <c r="BS9" s="21"/>
      <c r="BW9" s="20">
        <v>81</v>
      </c>
      <c r="BX9" s="20">
        <v>40.5</v>
      </c>
      <c r="CJ9">
        <v>1418</v>
      </c>
      <c r="CK9" s="2" t="s">
        <v>278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3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3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1"/>
  </sheetPr>
  <dimension ref="A1:DA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0.42187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2.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60.140625" style="0" customWidth="1"/>
    <col min="91" max="91" width="13.421875" style="0" customWidth="1"/>
  </cols>
  <sheetData>
    <row r="1" spans="1:88" ht="12.75">
      <c r="A1" s="14"/>
      <c r="B1" s="18" t="s">
        <v>1434</v>
      </c>
      <c r="C1" s="4"/>
      <c r="D1" s="3"/>
      <c r="E1" s="4" t="s">
        <v>442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5">
        <v>1421</v>
      </c>
      <c r="B9" s="14" t="s">
        <v>1076</v>
      </c>
      <c r="C9" s="14" t="s">
        <v>1267</v>
      </c>
      <c r="D9" s="14" t="s">
        <v>47</v>
      </c>
      <c r="E9" s="14" t="s">
        <v>268</v>
      </c>
      <c r="F9" s="2" t="s">
        <v>168</v>
      </c>
      <c r="G9" s="2"/>
      <c r="H9" s="2" t="s">
        <v>694</v>
      </c>
      <c r="I9" s="2" t="s">
        <v>1437</v>
      </c>
      <c r="J9" s="14" t="s">
        <v>326</v>
      </c>
      <c r="K9" s="2" t="s">
        <v>695</v>
      </c>
      <c r="L9" s="14" t="s">
        <v>737</v>
      </c>
      <c r="M9" s="14" t="s">
        <v>3</v>
      </c>
      <c r="N9" s="2" t="s">
        <v>1293</v>
      </c>
      <c r="O9" s="10">
        <v>3</v>
      </c>
      <c r="P9" s="10"/>
      <c r="Q9" s="10"/>
      <c r="R9" s="9"/>
      <c r="S9" s="9"/>
      <c r="T9" s="9"/>
      <c r="U9" s="45">
        <v>65.25</v>
      </c>
      <c r="V9" s="45">
        <v>21.75</v>
      </c>
      <c r="W9" s="23">
        <v>15</v>
      </c>
      <c r="X9" s="6">
        <v>1.8125</v>
      </c>
      <c r="AB9" s="45"/>
      <c r="AC9">
        <v>5</v>
      </c>
      <c r="AD9">
        <v>8</v>
      </c>
      <c r="AE9">
        <v>9</v>
      </c>
      <c r="AF9" s="23">
        <v>5.4375</v>
      </c>
      <c r="AJ9" s="23">
        <v>1.8125</v>
      </c>
      <c r="AK9" s="23">
        <v>1.25</v>
      </c>
      <c r="AU9" s="7"/>
      <c r="AV9" s="7"/>
      <c r="BD9" s="23">
        <v>1.8125</v>
      </c>
      <c r="BP9" s="34"/>
      <c r="BS9" s="21"/>
      <c r="BW9" s="20">
        <v>65.25</v>
      </c>
      <c r="BX9" s="20">
        <v>21.75</v>
      </c>
      <c r="CJ9">
        <v>1421</v>
      </c>
      <c r="CK9" s="2" t="s">
        <v>695</v>
      </c>
      <c r="CL9" t="s">
        <v>1013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2"/>
  </sheetPr>
  <dimension ref="A1:DA1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1.140625" style="0" customWidth="1"/>
    <col min="10" max="10" width="7.57421875" style="0" customWidth="1"/>
    <col min="11" max="11" width="19.00390625" style="0" customWidth="1"/>
    <col min="12" max="12" width="6.28125" style="0" customWidth="1"/>
    <col min="13" max="13" width="7.57421875" style="0" customWidth="1"/>
    <col min="14" max="14" width="18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73.8515625" style="0" customWidth="1"/>
    <col min="91" max="91" width="13.421875" style="0" customWidth="1"/>
  </cols>
  <sheetData>
    <row r="1" spans="1:88" ht="12.75">
      <c r="A1" s="14"/>
      <c r="B1" s="18" t="s">
        <v>1564</v>
      </c>
      <c r="C1" s="4"/>
      <c r="D1" s="3"/>
      <c r="E1" s="4" t="s">
        <v>442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1425</v>
      </c>
      <c r="B9" s="14" t="s">
        <v>952</v>
      </c>
      <c r="C9" s="14" t="s">
        <v>558</v>
      </c>
      <c r="D9" s="14" t="s">
        <v>261</v>
      </c>
      <c r="E9" s="14" t="s">
        <v>274</v>
      </c>
      <c r="F9" s="33" t="s">
        <v>222</v>
      </c>
      <c r="G9" s="2">
        <v>2</v>
      </c>
      <c r="H9" s="2" t="s">
        <v>1564</v>
      </c>
      <c r="I9" s="2" t="s">
        <v>832</v>
      </c>
      <c r="J9" s="14" t="s">
        <v>326</v>
      </c>
      <c r="K9" s="2" t="s">
        <v>1567</v>
      </c>
      <c r="L9" s="14" t="s">
        <v>1571</v>
      </c>
      <c r="M9" s="14" t="s">
        <v>745</v>
      </c>
      <c r="N9" s="2" t="s">
        <v>765</v>
      </c>
      <c r="O9" s="10">
        <v>6</v>
      </c>
      <c r="P9" s="10"/>
      <c r="Q9" s="10"/>
      <c r="R9" s="9"/>
      <c r="S9" s="9"/>
      <c r="T9" s="9"/>
      <c r="U9" s="45">
        <v>147</v>
      </c>
      <c r="V9" s="45">
        <v>24.5</v>
      </c>
      <c r="X9" s="6">
        <v>2.0416666666666665</v>
      </c>
      <c r="AB9" s="45"/>
      <c r="AF9" s="23">
        <v>12.25</v>
      </c>
      <c r="AG9">
        <v>2</v>
      </c>
      <c r="AH9">
        <v>0</v>
      </c>
      <c r="AI9">
        <v>10</v>
      </c>
      <c r="AJ9" s="23">
        <v>2.0416666666666665</v>
      </c>
      <c r="AK9" s="23"/>
      <c r="BD9" s="23"/>
      <c r="BG9" s="23">
        <v>2.0416666666666665</v>
      </c>
      <c r="BP9" s="34"/>
      <c r="BS9" s="21"/>
      <c r="BW9" s="20">
        <v>147</v>
      </c>
      <c r="BX9" s="20">
        <v>24.5</v>
      </c>
      <c r="CJ9">
        <v>1425</v>
      </c>
      <c r="CK9" s="2" t="s">
        <v>1567</v>
      </c>
      <c r="CL9" t="s">
        <v>1041</v>
      </c>
    </row>
    <row r="10" spans="1:89" ht="12.75">
      <c r="A10" s="18">
        <v>1425</v>
      </c>
      <c r="B10" s="14" t="s">
        <v>952</v>
      </c>
      <c r="C10" s="14" t="s">
        <v>558</v>
      </c>
      <c r="D10" s="14" t="s">
        <v>261</v>
      </c>
      <c r="E10" s="14" t="s">
        <v>274</v>
      </c>
      <c r="F10" s="33" t="s">
        <v>223</v>
      </c>
      <c r="G10" s="2">
        <v>2</v>
      </c>
      <c r="H10" s="2" t="s">
        <v>1564</v>
      </c>
      <c r="I10" s="2" t="s">
        <v>832</v>
      </c>
      <c r="J10" s="14" t="s">
        <v>326</v>
      </c>
      <c r="K10" s="2" t="s">
        <v>1567</v>
      </c>
      <c r="L10" s="14" t="s">
        <v>1571</v>
      </c>
      <c r="M10" s="14" t="s">
        <v>745</v>
      </c>
      <c r="N10" s="2" t="s">
        <v>248</v>
      </c>
      <c r="O10" s="10">
        <v>1</v>
      </c>
      <c r="P10" s="10"/>
      <c r="Q10" s="10"/>
      <c r="R10" s="9"/>
      <c r="S10" s="9"/>
      <c r="T10" s="9"/>
      <c r="U10" s="45">
        <v>25.4</v>
      </c>
      <c r="V10" s="45">
        <v>25.4</v>
      </c>
      <c r="X10" s="6">
        <v>2.1166666666666667</v>
      </c>
      <c r="AB10" s="45"/>
      <c r="AC10">
        <v>2</v>
      </c>
      <c r="AD10">
        <v>2</v>
      </c>
      <c r="AE10">
        <v>4</v>
      </c>
      <c r="AF10" s="23">
        <v>2.1166666666666667</v>
      </c>
      <c r="AG10">
        <v>2</v>
      </c>
      <c r="AH10">
        <v>2</v>
      </c>
      <c r="AI10">
        <v>4</v>
      </c>
      <c r="AJ10" s="23">
        <v>2.1166666666666667</v>
      </c>
      <c r="AK10" s="23"/>
      <c r="BC10" s="7"/>
      <c r="BG10" s="23">
        <v>2.1166666666666667</v>
      </c>
      <c r="BP10" s="34"/>
      <c r="BS10" s="21"/>
      <c r="BW10" s="20">
        <v>25.4</v>
      </c>
      <c r="BX10" s="20">
        <v>25.4</v>
      </c>
      <c r="CJ10">
        <v>1425</v>
      </c>
      <c r="CK10" s="2" t="s">
        <v>1567</v>
      </c>
    </row>
    <row r="11" spans="1:89" ht="12.75">
      <c r="A11" s="18">
        <v>1425</v>
      </c>
      <c r="B11" s="14" t="s">
        <v>952</v>
      </c>
      <c r="C11" s="14" t="s">
        <v>558</v>
      </c>
      <c r="D11" s="14" t="s">
        <v>261</v>
      </c>
      <c r="E11" s="14" t="s">
        <v>274</v>
      </c>
      <c r="F11" s="33" t="s">
        <v>224</v>
      </c>
      <c r="G11" s="2">
        <v>2</v>
      </c>
      <c r="H11" s="2" t="s">
        <v>1564</v>
      </c>
      <c r="I11" s="2" t="s">
        <v>832</v>
      </c>
      <c r="J11" s="14" t="s">
        <v>326</v>
      </c>
      <c r="K11" s="2" t="s">
        <v>1567</v>
      </c>
      <c r="L11" s="14" t="s">
        <v>1571</v>
      </c>
      <c r="M11" s="14" t="s">
        <v>745</v>
      </c>
      <c r="N11" s="2" t="s">
        <v>14</v>
      </c>
      <c r="O11" s="10">
        <v>1</v>
      </c>
      <c r="P11" s="10"/>
      <c r="Q11" s="10"/>
      <c r="R11" s="9"/>
      <c r="S11" s="9"/>
      <c r="T11" s="9"/>
      <c r="U11" s="45">
        <v>25</v>
      </c>
      <c r="V11" s="45">
        <v>25</v>
      </c>
      <c r="X11" s="6">
        <v>2.0833333333333335</v>
      </c>
      <c r="AB11" s="45"/>
      <c r="AC11">
        <v>2</v>
      </c>
      <c r="AD11">
        <v>1</v>
      </c>
      <c r="AE11">
        <v>8</v>
      </c>
      <c r="AF11" s="23">
        <v>2.0833333333333335</v>
      </c>
      <c r="AG11">
        <v>2</v>
      </c>
      <c r="AH11">
        <v>1</v>
      </c>
      <c r="AI11">
        <v>8</v>
      </c>
      <c r="AJ11" s="23">
        <v>2.0833333333333335</v>
      </c>
      <c r="AK11" s="23"/>
      <c r="AX11" s="23"/>
      <c r="BC11" s="7"/>
      <c r="BG11" s="23">
        <v>2.0833333333333335</v>
      </c>
      <c r="BP11" s="34"/>
      <c r="BS11" s="21"/>
      <c r="BW11" s="20">
        <v>25</v>
      </c>
      <c r="BX11" s="20">
        <v>25</v>
      </c>
      <c r="CJ11">
        <v>1425</v>
      </c>
      <c r="CK11" s="2" t="s">
        <v>1567</v>
      </c>
    </row>
    <row r="12" spans="1:89" ht="12.75">
      <c r="A12" s="18">
        <v>1425</v>
      </c>
      <c r="B12" s="14" t="s">
        <v>952</v>
      </c>
      <c r="C12" s="14" t="s">
        <v>558</v>
      </c>
      <c r="D12" s="14" t="s">
        <v>261</v>
      </c>
      <c r="E12" s="14" t="s">
        <v>274</v>
      </c>
      <c r="F12" s="33" t="s">
        <v>225</v>
      </c>
      <c r="G12" s="2">
        <v>2</v>
      </c>
      <c r="H12" s="2" t="s">
        <v>1564</v>
      </c>
      <c r="I12" s="2" t="s">
        <v>832</v>
      </c>
      <c r="J12" s="14" t="s">
        <v>326</v>
      </c>
      <c r="K12" s="2" t="s">
        <v>1567</v>
      </c>
      <c r="L12" s="14" t="s">
        <v>1571</v>
      </c>
      <c r="M12" s="14" t="s">
        <v>745</v>
      </c>
      <c r="N12" s="2" t="s">
        <v>1464</v>
      </c>
      <c r="O12" s="10">
        <v>1</v>
      </c>
      <c r="P12" s="10"/>
      <c r="Q12" s="10"/>
      <c r="R12" s="9"/>
      <c r="S12" s="9"/>
      <c r="T12" s="9"/>
      <c r="U12" s="45">
        <v>25.35</v>
      </c>
      <c r="V12" s="45">
        <v>25.35</v>
      </c>
      <c r="X12" s="6">
        <v>2.1125</v>
      </c>
      <c r="AB12" s="45"/>
      <c r="AC12">
        <v>2</v>
      </c>
      <c r="AD12">
        <v>2</v>
      </c>
      <c r="AE12">
        <v>3</v>
      </c>
      <c r="AF12" s="23">
        <v>2.1125</v>
      </c>
      <c r="AG12">
        <v>2</v>
      </c>
      <c r="AH12">
        <v>2</v>
      </c>
      <c r="AI12">
        <v>3</v>
      </c>
      <c r="AJ12" s="23">
        <v>2.1125</v>
      </c>
      <c r="AK12" s="23"/>
      <c r="BC12" s="7"/>
      <c r="BG12" s="23">
        <v>2.1125</v>
      </c>
      <c r="BP12" s="34"/>
      <c r="BS12" s="21"/>
      <c r="BW12" s="20">
        <v>25.35</v>
      </c>
      <c r="BX12" s="20">
        <v>25.35</v>
      </c>
      <c r="CJ12">
        <v>1425</v>
      </c>
      <c r="CK12" s="2" t="s">
        <v>1567</v>
      </c>
    </row>
    <row r="13" spans="1:89" ht="12.75">
      <c r="A13" s="18">
        <v>1425</v>
      </c>
      <c r="B13" s="14" t="s">
        <v>952</v>
      </c>
      <c r="C13" s="14" t="s">
        <v>558</v>
      </c>
      <c r="D13" s="14" t="s">
        <v>261</v>
      </c>
      <c r="E13" s="14" t="s">
        <v>274</v>
      </c>
      <c r="F13" s="33" t="s">
        <v>215</v>
      </c>
      <c r="G13" s="2">
        <v>2</v>
      </c>
      <c r="H13" s="2" t="s">
        <v>1564</v>
      </c>
      <c r="I13" s="2" t="s">
        <v>832</v>
      </c>
      <c r="J13" s="14" t="s">
        <v>326</v>
      </c>
      <c r="K13" s="2" t="s">
        <v>1567</v>
      </c>
      <c r="L13" s="14" t="s">
        <v>1571</v>
      </c>
      <c r="M13" s="14" t="s">
        <v>745</v>
      </c>
      <c r="N13" s="2" t="s">
        <v>809</v>
      </c>
      <c r="O13" s="10">
        <v>1</v>
      </c>
      <c r="P13" s="10"/>
      <c r="Q13" s="10"/>
      <c r="R13" s="9"/>
      <c r="S13" s="9"/>
      <c r="T13" s="9"/>
      <c r="U13" s="45">
        <v>24.65</v>
      </c>
      <c r="V13" s="45">
        <v>24.65</v>
      </c>
      <c r="X13" s="6">
        <v>2.0541666666666667</v>
      </c>
      <c r="AB13" s="45"/>
      <c r="AC13">
        <v>2</v>
      </c>
      <c r="AD13">
        <v>1</v>
      </c>
      <c r="AE13">
        <v>1</v>
      </c>
      <c r="AF13" s="23">
        <v>2.0541666666666667</v>
      </c>
      <c r="AG13">
        <v>2</v>
      </c>
      <c r="AH13">
        <v>1</v>
      </c>
      <c r="AI13">
        <v>1</v>
      </c>
      <c r="AJ13" s="23">
        <v>2.0541666666666667</v>
      </c>
      <c r="AK13" s="23"/>
      <c r="BG13" s="23">
        <v>2.0541666666666667</v>
      </c>
      <c r="BP13" s="34"/>
      <c r="BS13" s="21"/>
      <c r="BW13" s="20">
        <v>24.65</v>
      </c>
      <c r="BX13" s="20">
        <v>24.65</v>
      </c>
      <c r="CJ13">
        <v>1425</v>
      </c>
      <c r="CK13" s="2" t="s">
        <v>1567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DA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9.421875" style="0" customWidth="1"/>
    <col min="10" max="10" width="7.57421875" style="0" customWidth="1"/>
    <col min="11" max="11" width="28.421875" style="0" customWidth="1"/>
    <col min="12" max="12" width="6.28125" style="0" customWidth="1"/>
    <col min="13" max="13" width="7.57421875" style="0" customWidth="1"/>
    <col min="14" max="14" width="30.71093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8.421875" style="0" customWidth="1"/>
    <col min="90" max="90" width="29.57421875" style="0" customWidth="1"/>
    <col min="91" max="91" width="13.421875" style="0" customWidth="1"/>
  </cols>
  <sheetData>
    <row r="1" spans="1:88" ht="12.75">
      <c r="A1" s="14"/>
      <c r="B1" s="18" t="s">
        <v>1058</v>
      </c>
      <c r="C1" s="4"/>
      <c r="D1" s="3"/>
      <c r="E1" s="4" t="s">
        <v>442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5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9" spans="1:90" ht="12.75">
      <c r="A9" s="18">
        <v>1426</v>
      </c>
      <c r="B9" s="14" t="s">
        <v>952</v>
      </c>
      <c r="C9" s="14" t="s">
        <v>558</v>
      </c>
      <c r="D9" s="14" t="s">
        <v>262</v>
      </c>
      <c r="E9" s="14" t="s">
        <v>266</v>
      </c>
      <c r="F9" s="33" t="s">
        <v>240</v>
      </c>
      <c r="G9" s="2">
        <v>2</v>
      </c>
      <c r="H9" s="2" t="s">
        <v>1058</v>
      </c>
      <c r="I9" s="2" t="s">
        <v>1242</v>
      </c>
      <c r="J9" s="14" t="s">
        <v>326</v>
      </c>
      <c r="K9" s="2" t="s">
        <v>1062</v>
      </c>
      <c r="L9" s="14" t="s">
        <v>1057</v>
      </c>
      <c r="M9" s="14" t="s">
        <v>1177</v>
      </c>
      <c r="N9" s="2" t="s">
        <v>762</v>
      </c>
      <c r="O9" s="10">
        <v>1</v>
      </c>
      <c r="P9" s="10"/>
      <c r="Q9" s="10"/>
      <c r="R9" s="9"/>
      <c r="S9" s="9"/>
      <c r="T9" s="9"/>
      <c r="U9" s="45">
        <v>28.550000000000004</v>
      </c>
      <c r="V9" s="45">
        <v>28.550000000000004</v>
      </c>
      <c r="W9" s="23"/>
      <c r="X9" s="6">
        <v>2.379166666666667</v>
      </c>
      <c r="AB9" s="45"/>
      <c r="AC9">
        <v>2</v>
      </c>
      <c r="AD9">
        <v>7</v>
      </c>
      <c r="AE9">
        <v>7</v>
      </c>
      <c r="AF9" s="23">
        <v>2.379166666666667</v>
      </c>
      <c r="AG9">
        <v>2</v>
      </c>
      <c r="AH9">
        <v>7</v>
      </c>
      <c r="AI9">
        <v>7</v>
      </c>
      <c r="AJ9" s="23">
        <v>2.379166666666667</v>
      </c>
      <c r="AK9" s="23"/>
      <c r="BB9" s="7"/>
      <c r="BG9" s="23">
        <v>2.379166666666667</v>
      </c>
      <c r="BP9" s="34"/>
      <c r="BS9" s="21"/>
      <c r="BW9" s="20">
        <v>28.550000000000004</v>
      </c>
      <c r="BX9" s="20">
        <v>28.550000000000004</v>
      </c>
      <c r="CJ9">
        <v>1426</v>
      </c>
      <c r="CK9" s="2" t="s">
        <v>1062</v>
      </c>
      <c r="CL9" t="s">
        <v>1175</v>
      </c>
    </row>
    <row r="10" spans="1:90" ht="12.75">
      <c r="A10" s="18">
        <v>1426</v>
      </c>
      <c r="B10" s="14" t="s">
        <v>952</v>
      </c>
      <c r="C10" s="14" t="s">
        <v>558</v>
      </c>
      <c r="D10" s="14" t="s">
        <v>262</v>
      </c>
      <c r="E10" s="14" t="s">
        <v>266</v>
      </c>
      <c r="F10" s="33" t="s">
        <v>241</v>
      </c>
      <c r="G10" s="2">
        <v>2</v>
      </c>
      <c r="H10" s="2" t="s">
        <v>1058</v>
      </c>
      <c r="I10" s="2" t="s">
        <v>1243</v>
      </c>
      <c r="J10" s="14" t="s">
        <v>1265</v>
      </c>
      <c r="K10" s="2" t="s">
        <v>1061</v>
      </c>
      <c r="L10" s="14" t="s">
        <v>1057</v>
      </c>
      <c r="M10" s="14" t="s">
        <v>1177</v>
      </c>
      <c r="N10" s="2" t="s">
        <v>248</v>
      </c>
      <c r="O10" s="10">
        <v>1</v>
      </c>
      <c r="P10" s="10"/>
      <c r="Q10" s="10"/>
      <c r="R10" s="9"/>
      <c r="S10" s="9"/>
      <c r="T10" s="9"/>
      <c r="U10" s="45">
        <v>18.8</v>
      </c>
      <c r="V10" s="45">
        <v>18.8</v>
      </c>
      <c r="W10" s="23"/>
      <c r="X10" s="6">
        <v>1.5666666666666667</v>
      </c>
      <c r="AB10" s="45"/>
      <c r="AC10">
        <v>1</v>
      </c>
      <c r="AD10">
        <v>11</v>
      </c>
      <c r="AE10">
        <v>4</v>
      </c>
      <c r="AF10" s="23">
        <v>1.5666666666666667</v>
      </c>
      <c r="AG10">
        <v>1</v>
      </c>
      <c r="AH10">
        <v>11</v>
      </c>
      <c r="AI10">
        <v>4</v>
      </c>
      <c r="AJ10" s="23">
        <v>1.5666666666666667</v>
      </c>
      <c r="AK10" s="23"/>
      <c r="AL10" s="23">
        <v>1.5666666666666667</v>
      </c>
      <c r="BG10" s="7"/>
      <c r="BP10" s="34"/>
      <c r="BS10" s="21"/>
      <c r="BW10" s="20">
        <v>18.8</v>
      </c>
      <c r="BX10" s="20">
        <v>18.8</v>
      </c>
      <c r="CJ10">
        <v>1426</v>
      </c>
      <c r="CK10" s="2" t="s">
        <v>1061</v>
      </c>
      <c r="CL10" t="s">
        <v>1176</v>
      </c>
    </row>
    <row r="11" spans="1:90" ht="12.75">
      <c r="A11" s="18">
        <v>1426</v>
      </c>
      <c r="B11" s="14" t="s">
        <v>952</v>
      </c>
      <c r="C11" s="14" t="s">
        <v>558</v>
      </c>
      <c r="D11" s="14" t="s">
        <v>262</v>
      </c>
      <c r="E11" s="14" t="s">
        <v>266</v>
      </c>
      <c r="F11" s="33" t="s">
        <v>242</v>
      </c>
      <c r="G11" s="2">
        <v>2</v>
      </c>
      <c r="H11" s="2" t="s">
        <v>1058</v>
      </c>
      <c r="I11" s="2" t="s">
        <v>1243</v>
      </c>
      <c r="J11" s="14" t="s">
        <v>1265</v>
      </c>
      <c r="K11" s="2" t="s">
        <v>1061</v>
      </c>
      <c r="L11" s="14" t="s">
        <v>1057</v>
      </c>
      <c r="M11" s="14" t="s">
        <v>1177</v>
      </c>
      <c r="N11" s="2" t="s">
        <v>15</v>
      </c>
      <c r="O11" s="10">
        <v>1</v>
      </c>
      <c r="P11" s="10"/>
      <c r="Q11" s="10"/>
      <c r="R11" s="9"/>
      <c r="S11" s="9"/>
      <c r="T11" s="9"/>
      <c r="U11" s="45">
        <v>18.2</v>
      </c>
      <c r="V11" s="45">
        <v>18.2</v>
      </c>
      <c r="W11" s="23"/>
      <c r="X11" s="6">
        <v>1.5166666666666666</v>
      </c>
      <c r="AB11" s="45"/>
      <c r="AC11">
        <v>1</v>
      </c>
      <c r="AD11">
        <v>10</v>
      </c>
      <c r="AE11">
        <v>4</v>
      </c>
      <c r="AF11" s="23">
        <v>1.5166666666666666</v>
      </c>
      <c r="AG11">
        <v>1</v>
      </c>
      <c r="AH11">
        <v>10</v>
      </c>
      <c r="AI11">
        <v>4</v>
      </c>
      <c r="AJ11" s="23">
        <v>1.5166666666666666</v>
      </c>
      <c r="AK11" s="23"/>
      <c r="AL11" s="23">
        <v>1.5166666666666666</v>
      </c>
      <c r="AX11" s="23"/>
      <c r="BG11" s="7"/>
      <c r="BP11" s="34"/>
      <c r="BS11" s="21"/>
      <c r="BW11" s="20">
        <v>18.2</v>
      </c>
      <c r="BX11" s="20">
        <v>18.2</v>
      </c>
      <c r="CJ11">
        <v>1426</v>
      </c>
      <c r="CK11" s="2" t="s">
        <v>1061</v>
      </c>
      <c r="CL11" t="s">
        <v>1176</v>
      </c>
    </row>
    <row r="12" spans="1:89" ht="12.75">
      <c r="A12" s="18">
        <v>1426</v>
      </c>
      <c r="B12" s="14" t="s">
        <v>952</v>
      </c>
      <c r="C12" s="14" t="s">
        <v>558</v>
      </c>
      <c r="D12" s="14" t="s">
        <v>262</v>
      </c>
      <c r="E12" s="14" t="s">
        <v>266</v>
      </c>
      <c r="F12" s="33" t="s">
        <v>243</v>
      </c>
      <c r="G12" s="2">
        <v>2</v>
      </c>
      <c r="H12" s="2" t="s">
        <v>1058</v>
      </c>
      <c r="I12" s="2" t="s">
        <v>381</v>
      </c>
      <c r="J12" s="14" t="s">
        <v>326</v>
      </c>
      <c r="K12" s="2" t="s">
        <v>1059</v>
      </c>
      <c r="L12" s="14" t="s">
        <v>1057</v>
      </c>
      <c r="M12" s="14" t="s">
        <v>327</v>
      </c>
      <c r="N12" s="2" t="s">
        <v>810</v>
      </c>
      <c r="O12" s="10">
        <v>1</v>
      </c>
      <c r="P12" s="10"/>
      <c r="Q12" s="10"/>
      <c r="R12" s="9"/>
      <c r="S12" s="9"/>
      <c r="T12" s="9"/>
      <c r="U12" s="45">
        <v>21.8</v>
      </c>
      <c r="V12" s="45">
        <v>21.8</v>
      </c>
      <c r="W12" s="23"/>
      <c r="X12" s="6">
        <v>1.8166666666666667</v>
      </c>
      <c r="AB12" s="45"/>
      <c r="AC12">
        <v>1</v>
      </c>
      <c r="AD12">
        <v>16</v>
      </c>
      <c r="AE12">
        <v>4</v>
      </c>
      <c r="AF12" s="23">
        <v>1.8166666666666667</v>
      </c>
      <c r="AG12">
        <v>1</v>
      </c>
      <c r="AH12">
        <v>16</v>
      </c>
      <c r="AI12">
        <v>4</v>
      </c>
      <c r="AJ12" s="23">
        <v>1.8166666666666667</v>
      </c>
      <c r="AK12" s="23"/>
      <c r="AW12" s="7"/>
      <c r="BG12" s="23">
        <v>1.8166666666666667</v>
      </c>
      <c r="BP12" s="34"/>
      <c r="BS12" s="21"/>
      <c r="BW12" s="20">
        <v>21.8</v>
      </c>
      <c r="BX12" s="20">
        <v>21.8</v>
      </c>
      <c r="CJ12">
        <v>1426</v>
      </c>
      <c r="CK12" s="2" t="s">
        <v>1059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DD1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421875" style="0" customWidth="1"/>
    <col min="4" max="4" width="6.57421875" style="0" customWidth="1"/>
    <col min="5" max="5" width="6.7109375" style="0" customWidth="1"/>
    <col min="7" max="7" width="8.7109375" style="0" customWidth="1"/>
    <col min="8" max="8" width="12.8515625" style="0" customWidth="1"/>
    <col min="9" max="9" width="45.57421875" style="0" customWidth="1"/>
    <col min="10" max="10" width="7.57421875" style="0" customWidth="1"/>
    <col min="11" max="11" width="32.00390625" style="0" customWidth="1"/>
    <col min="12" max="12" width="6.28125" style="0" customWidth="1"/>
    <col min="13" max="13" width="7.7109375" style="0" customWidth="1"/>
    <col min="14" max="14" width="25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8.00390625" style="0" customWidth="1"/>
    <col min="90" max="90" width="192.7109375" style="0" customWidth="1"/>
    <col min="91" max="91" width="13.421875" style="0" customWidth="1"/>
  </cols>
  <sheetData>
    <row r="1" spans="1:88" ht="12.75">
      <c r="A1" s="14"/>
      <c r="B1" s="18" t="s">
        <v>1291</v>
      </c>
      <c r="C1" s="4"/>
      <c r="D1" s="3"/>
      <c r="E1" s="4" t="s">
        <v>443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8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18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9" spans="1:90" ht="12.75">
      <c r="A9" s="15">
        <v>1419</v>
      </c>
      <c r="B9" s="14" t="s">
        <v>952</v>
      </c>
      <c r="C9" s="14" t="s">
        <v>558</v>
      </c>
      <c r="D9" s="14" t="s">
        <v>255</v>
      </c>
      <c r="E9" s="14" t="s">
        <v>284</v>
      </c>
      <c r="F9" s="2" t="s">
        <v>73</v>
      </c>
      <c r="G9" s="2">
        <v>1</v>
      </c>
      <c r="H9" s="2" t="s">
        <v>502</v>
      </c>
      <c r="I9" s="2" t="s">
        <v>503</v>
      </c>
      <c r="J9" s="14" t="s">
        <v>326</v>
      </c>
      <c r="K9" s="2" t="s">
        <v>506</v>
      </c>
      <c r="L9" s="14" t="s">
        <v>1281</v>
      </c>
      <c r="M9" s="14" t="s">
        <v>332</v>
      </c>
      <c r="N9" s="2" t="s">
        <v>534</v>
      </c>
      <c r="O9" s="10">
        <v>15</v>
      </c>
      <c r="P9" s="10"/>
      <c r="Q9" s="10"/>
      <c r="R9" s="9"/>
      <c r="S9" s="9"/>
      <c r="T9" s="9"/>
      <c r="U9" s="45">
        <v>1215</v>
      </c>
      <c r="V9" s="45">
        <v>81</v>
      </c>
      <c r="W9" s="23"/>
      <c r="X9" s="6">
        <v>6.75</v>
      </c>
      <c r="AB9" s="45"/>
      <c r="AC9">
        <v>6</v>
      </c>
      <c r="AD9">
        <v>15</v>
      </c>
      <c r="AE9">
        <v>0</v>
      </c>
      <c r="AF9" s="23">
        <v>6.75</v>
      </c>
      <c r="AG9">
        <v>6</v>
      </c>
      <c r="AH9">
        <v>15</v>
      </c>
      <c r="AI9">
        <v>0</v>
      </c>
      <c r="AJ9" s="23">
        <v>6.75</v>
      </c>
      <c r="AK9" s="23"/>
      <c r="AU9" s="23">
        <v>6.75</v>
      </c>
      <c r="AY9" s="23"/>
      <c r="BO9">
        <v>3.725</v>
      </c>
      <c r="BP9">
        <v>10.475</v>
      </c>
      <c r="BS9" s="21">
        <v>0.3556085918854415</v>
      </c>
      <c r="BW9" s="20">
        <v>1885.5</v>
      </c>
      <c r="BX9" s="20">
        <v>125.7</v>
      </c>
      <c r="CJ9">
        <v>1419</v>
      </c>
      <c r="CK9" s="2" t="s">
        <v>865</v>
      </c>
      <c r="CL9" t="s">
        <v>17</v>
      </c>
    </row>
    <row r="11" spans="1:90" ht="12.75">
      <c r="A11" s="15">
        <v>1419</v>
      </c>
      <c r="B11" s="14" t="s">
        <v>952</v>
      </c>
      <c r="C11" s="14" t="s">
        <v>558</v>
      </c>
      <c r="D11" s="14" t="s">
        <v>255</v>
      </c>
      <c r="E11" s="14" t="s">
        <v>284</v>
      </c>
      <c r="F11" s="2" t="s">
        <v>76</v>
      </c>
      <c r="G11" s="2">
        <v>2</v>
      </c>
      <c r="H11" s="2" t="s">
        <v>3</v>
      </c>
      <c r="I11" s="2" t="s">
        <v>1250</v>
      </c>
      <c r="J11" s="14" t="s">
        <v>326</v>
      </c>
      <c r="K11" s="2" t="s">
        <v>1246</v>
      </c>
      <c r="L11" s="14" t="s">
        <v>1281</v>
      </c>
      <c r="M11" s="14" t="s">
        <v>1187</v>
      </c>
      <c r="N11" s="2" t="s">
        <v>1427</v>
      </c>
      <c r="O11" s="10">
        <v>0.5</v>
      </c>
      <c r="P11" s="10"/>
      <c r="Q11" s="10"/>
      <c r="R11" s="9"/>
      <c r="S11" s="9"/>
      <c r="T11" s="9"/>
      <c r="U11" s="45">
        <v>54</v>
      </c>
      <c r="V11" s="45">
        <v>108</v>
      </c>
      <c r="W11" s="23"/>
      <c r="X11" s="6">
        <v>9</v>
      </c>
      <c r="AC11">
        <v>4</v>
      </c>
      <c r="AD11">
        <v>10</v>
      </c>
      <c r="AE11">
        <v>0</v>
      </c>
      <c r="AF11" s="23">
        <v>4.5</v>
      </c>
      <c r="AG11">
        <v>9</v>
      </c>
      <c r="AH11">
        <v>0</v>
      </c>
      <c r="AI11">
        <v>0</v>
      </c>
      <c r="AJ11" s="23">
        <v>9</v>
      </c>
      <c r="AK11" s="23"/>
      <c r="AU11" s="23">
        <v>9</v>
      </c>
      <c r="AX11" s="23"/>
      <c r="AY11" s="23">
        <v>9</v>
      </c>
      <c r="BD11" s="23"/>
      <c r="BG11" s="23"/>
      <c r="BS11" s="21"/>
      <c r="BW11" s="20">
        <v>54</v>
      </c>
      <c r="BX11" s="20">
        <v>108</v>
      </c>
      <c r="CJ11">
        <v>1419</v>
      </c>
      <c r="CK11" s="2" t="s">
        <v>1246</v>
      </c>
      <c r="CL11" t="s">
        <v>1050</v>
      </c>
    </row>
    <row r="13" spans="1:90" ht="12.75">
      <c r="A13" s="15">
        <v>1421</v>
      </c>
      <c r="B13" s="14" t="s">
        <v>952</v>
      </c>
      <c r="C13" s="14" t="s">
        <v>558</v>
      </c>
      <c r="D13" s="14" t="s">
        <v>257</v>
      </c>
      <c r="E13" s="14" t="s">
        <v>283</v>
      </c>
      <c r="F13" s="2" t="s">
        <v>129</v>
      </c>
      <c r="G13" s="2">
        <v>1</v>
      </c>
      <c r="H13" s="2" t="s">
        <v>3</v>
      </c>
      <c r="I13" s="2" t="s">
        <v>716</v>
      </c>
      <c r="J13" s="14" t="s">
        <v>326</v>
      </c>
      <c r="K13" s="2" t="s">
        <v>717</v>
      </c>
      <c r="L13" s="14" t="s">
        <v>1281</v>
      </c>
      <c r="M13" s="14" t="s">
        <v>1141</v>
      </c>
      <c r="N13" s="2" t="s">
        <v>534</v>
      </c>
      <c r="O13" s="10">
        <v>11</v>
      </c>
      <c r="P13" s="10"/>
      <c r="Q13" s="10"/>
      <c r="R13" s="9"/>
      <c r="S13" s="9"/>
      <c r="T13" s="9"/>
      <c r="U13" s="45">
        <v>1254</v>
      </c>
      <c r="V13" s="45">
        <v>114</v>
      </c>
      <c r="W13" s="23">
        <v>69.0909090909091</v>
      </c>
      <c r="X13" s="6">
        <v>9.5</v>
      </c>
      <c r="AB13" s="45"/>
      <c r="AC13">
        <v>104</v>
      </c>
      <c r="AD13">
        <v>10</v>
      </c>
      <c r="AE13">
        <v>0</v>
      </c>
      <c r="AF13" s="23">
        <v>104.5</v>
      </c>
      <c r="AG13">
        <v>9</v>
      </c>
      <c r="AH13">
        <v>10</v>
      </c>
      <c r="AI13">
        <v>0</v>
      </c>
      <c r="AJ13" s="23">
        <v>9.5</v>
      </c>
      <c r="AK13" s="23">
        <v>5.757575757575758</v>
      </c>
      <c r="AU13" s="7"/>
      <c r="AV13" s="7"/>
      <c r="BP13" s="34"/>
      <c r="BS13" s="21"/>
      <c r="BW13" s="20">
        <v>1254</v>
      </c>
      <c r="BX13" s="20">
        <v>114</v>
      </c>
      <c r="CJ13">
        <v>1421</v>
      </c>
      <c r="CK13" s="2" t="s">
        <v>717</v>
      </c>
      <c r="CL13" t="s">
        <v>29</v>
      </c>
    </row>
    <row r="14" spans="1:90" ht="12.75">
      <c r="A14" s="15">
        <v>1421</v>
      </c>
      <c r="B14" s="14" t="s">
        <v>952</v>
      </c>
      <c r="C14" s="14" t="s">
        <v>558</v>
      </c>
      <c r="D14" s="14" t="s">
        <v>257</v>
      </c>
      <c r="E14" s="14" t="s">
        <v>283</v>
      </c>
      <c r="F14" s="2" t="s">
        <v>130</v>
      </c>
      <c r="G14" s="2">
        <v>1</v>
      </c>
      <c r="H14" s="2" t="s">
        <v>3</v>
      </c>
      <c r="I14" s="2" t="s">
        <v>716</v>
      </c>
      <c r="J14" s="14" t="s">
        <v>326</v>
      </c>
      <c r="K14" s="2" t="s">
        <v>717</v>
      </c>
      <c r="L14" s="14" t="s">
        <v>1281</v>
      </c>
      <c r="M14" s="14" t="s">
        <v>1141</v>
      </c>
      <c r="N14" s="2" t="s">
        <v>1427</v>
      </c>
      <c r="O14" s="10">
        <v>5</v>
      </c>
      <c r="P14" s="10"/>
      <c r="Q14" s="10"/>
      <c r="R14" s="9"/>
      <c r="S14" s="9"/>
      <c r="T14" s="9"/>
      <c r="U14" s="45">
        <v>570</v>
      </c>
      <c r="V14" s="45">
        <v>114</v>
      </c>
      <c r="W14" s="23">
        <v>69.0909090909091</v>
      </c>
      <c r="X14" s="6">
        <v>9.5</v>
      </c>
      <c r="AB14" s="45"/>
      <c r="AF14" s="23">
        <v>47.5</v>
      </c>
      <c r="AG14">
        <v>9</v>
      </c>
      <c r="AH14">
        <v>10</v>
      </c>
      <c r="AI14">
        <v>0</v>
      </c>
      <c r="AJ14" s="23">
        <v>9.5</v>
      </c>
      <c r="AK14" s="23">
        <v>5.757575757575758</v>
      </c>
      <c r="AU14" s="7"/>
      <c r="AV14" s="7"/>
      <c r="AY14" s="23">
        <v>9.5</v>
      </c>
      <c r="BP14" s="34"/>
      <c r="BS14" s="21"/>
      <c r="BW14" s="20">
        <v>570</v>
      </c>
      <c r="BX14" s="20">
        <v>114</v>
      </c>
      <c r="CJ14">
        <v>1421</v>
      </c>
      <c r="CK14" s="2" t="s">
        <v>717</v>
      </c>
      <c r="CL14" t="s">
        <v>1014</v>
      </c>
    </row>
    <row r="16" spans="1:90" ht="12.75">
      <c r="A16" s="15">
        <v>1422</v>
      </c>
      <c r="B16" s="14" t="s">
        <v>952</v>
      </c>
      <c r="C16" s="14" t="s">
        <v>558</v>
      </c>
      <c r="D16" s="14" t="s">
        <v>258</v>
      </c>
      <c r="E16" s="14" t="s">
        <v>282</v>
      </c>
      <c r="F16" s="2" t="s">
        <v>157</v>
      </c>
      <c r="G16" s="2">
        <v>1</v>
      </c>
      <c r="H16" s="2" t="s">
        <v>1547</v>
      </c>
      <c r="I16" s="2" t="s">
        <v>720</v>
      </c>
      <c r="J16" s="14" t="s">
        <v>326</v>
      </c>
      <c r="K16" s="2" t="s">
        <v>1550</v>
      </c>
      <c r="L16" s="14" t="s">
        <v>1281</v>
      </c>
      <c r="M16" s="14" t="s">
        <v>1183</v>
      </c>
      <c r="N16" s="2" t="s">
        <v>534</v>
      </c>
      <c r="O16" s="10">
        <v>11</v>
      </c>
      <c r="P16" s="10"/>
      <c r="Q16" s="10"/>
      <c r="R16" s="9"/>
      <c r="S16" s="9"/>
      <c r="T16" s="9"/>
      <c r="U16" s="45">
        <v>1155</v>
      </c>
      <c r="V16" s="45">
        <v>105</v>
      </c>
      <c r="W16" s="23"/>
      <c r="X16" s="6">
        <v>8.75</v>
      </c>
      <c r="AB16" s="45"/>
      <c r="AC16">
        <v>96</v>
      </c>
      <c r="AD16">
        <v>5</v>
      </c>
      <c r="AE16">
        <v>0</v>
      </c>
      <c r="AF16" s="23">
        <v>96.25</v>
      </c>
      <c r="AG16">
        <v>8</v>
      </c>
      <c r="AH16">
        <v>15</v>
      </c>
      <c r="AI16">
        <v>0</v>
      </c>
      <c r="AJ16" s="23">
        <v>8.75</v>
      </c>
      <c r="AU16" s="23">
        <v>8.75</v>
      </c>
      <c r="AV16" s="7"/>
      <c r="BC16" s="23"/>
      <c r="BP16" s="34"/>
      <c r="BS16" s="21"/>
      <c r="BW16" s="20">
        <v>1155</v>
      </c>
      <c r="BX16" s="20">
        <v>105</v>
      </c>
      <c r="CJ16">
        <v>1422</v>
      </c>
      <c r="CK16" s="2" t="s">
        <v>1550</v>
      </c>
      <c r="CL16" t="s">
        <v>1038</v>
      </c>
    </row>
    <row r="17" spans="1:90" ht="12.75">
      <c r="A17" s="15">
        <v>1422</v>
      </c>
      <c r="B17" s="14" t="s">
        <v>952</v>
      </c>
      <c r="C17" s="14" t="s">
        <v>558</v>
      </c>
      <c r="D17" s="14" t="s">
        <v>258</v>
      </c>
      <c r="E17" s="14" t="s">
        <v>282</v>
      </c>
      <c r="F17" s="2" t="s">
        <v>158</v>
      </c>
      <c r="G17" s="2">
        <v>1</v>
      </c>
      <c r="H17" s="2" t="s">
        <v>1547</v>
      </c>
      <c r="I17" s="2" t="s">
        <v>720</v>
      </c>
      <c r="J17" s="14" t="s">
        <v>326</v>
      </c>
      <c r="K17" s="2" t="s">
        <v>1550</v>
      </c>
      <c r="L17" s="14" t="s">
        <v>1281</v>
      </c>
      <c r="M17" s="14" t="s">
        <v>1183</v>
      </c>
      <c r="N17" s="2" t="s">
        <v>1427</v>
      </c>
      <c r="O17" s="10">
        <v>5</v>
      </c>
      <c r="P17" s="10"/>
      <c r="Q17" s="10"/>
      <c r="R17" s="9"/>
      <c r="S17" s="9"/>
      <c r="T17" s="9"/>
      <c r="U17" s="45">
        <v>525</v>
      </c>
      <c r="V17" s="45">
        <v>105</v>
      </c>
      <c r="W17" s="23"/>
      <c r="X17" s="6">
        <v>8.75</v>
      </c>
      <c r="AB17" s="45"/>
      <c r="AF17" s="23">
        <v>43.75</v>
      </c>
      <c r="AG17">
        <v>8</v>
      </c>
      <c r="AH17">
        <v>15</v>
      </c>
      <c r="AI17">
        <v>0</v>
      </c>
      <c r="AJ17" s="23">
        <v>8.75</v>
      </c>
      <c r="AU17" s="23">
        <v>8.75</v>
      </c>
      <c r="AV17" s="7"/>
      <c r="AY17" s="23">
        <v>8.75</v>
      </c>
      <c r="BP17" s="34"/>
      <c r="BS17" s="21"/>
      <c r="BW17" s="20">
        <v>525</v>
      </c>
      <c r="BX17" s="20">
        <v>105</v>
      </c>
      <c r="CJ17">
        <v>1422</v>
      </c>
      <c r="CK17" s="2" t="s">
        <v>1550</v>
      </c>
      <c r="CL17" t="s">
        <v>1036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DC164"/>
  <sheetViews>
    <sheetView zoomScale="90" zoomScaleNormal="9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0" sqref="B10"/>
    </sheetView>
  </sheetViews>
  <sheetFormatPr defaultColWidth="9.140625" defaultRowHeight="12.75"/>
  <cols>
    <col min="2" max="2" width="17.8515625" style="0" customWidth="1"/>
    <col min="3" max="3" width="9.57421875" style="0" customWidth="1"/>
    <col min="5" max="5" width="6.421875" style="0" customWidth="1"/>
    <col min="6" max="6" width="10.28125" style="0" customWidth="1"/>
    <col min="7" max="7" width="9.00390625" style="0" customWidth="1"/>
    <col min="8" max="8" width="13.421875" style="0" customWidth="1"/>
    <col min="9" max="9" width="9.8515625" style="0" customWidth="1"/>
    <col min="10" max="10" width="14.421875" style="0" customWidth="1"/>
    <col min="11" max="11" width="58.421875" style="0" customWidth="1"/>
    <col min="12" max="12" width="7.7109375" style="0" hidden="1" customWidth="1"/>
    <col min="13" max="13" width="48.00390625" style="0" hidden="1" customWidth="1"/>
    <col min="14" max="14" width="6.421875" style="0" hidden="1" customWidth="1"/>
    <col min="15" max="15" width="8.28125" style="0" hidden="1" customWidth="1"/>
    <col min="16" max="16" width="41.8515625" style="0" customWidth="1"/>
    <col min="17" max="17" width="9.8515625" style="0" customWidth="1"/>
    <col min="18" max="18" width="9.00390625" style="0" customWidth="1"/>
    <col min="19" max="19" width="8.28125" style="0" customWidth="1"/>
    <col min="20" max="22" width="14.28125" style="0" customWidth="1"/>
    <col min="23" max="23" width="13.57421875" style="0" customWidth="1"/>
    <col min="24" max="24" width="14.421875" style="0" customWidth="1"/>
    <col min="25" max="25" width="16.140625" style="0" customWidth="1"/>
    <col min="26" max="30" width="14.421875" style="0" customWidth="1"/>
    <col min="31" max="34" width="11.57421875" style="0" customWidth="1"/>
    <col min="35" max="38" width="14.421875" style="0" customWidth="1"/>
    <col min="39" max="39" width="12.28125" style="0" customWidth="1"/>
    <col min="40" max="40" width="13.140625" style="0" customWidth="1"/>
    <col min="41" max="48" width="14.421875" style="0" customWidth="1"/>
    <col min="49" max="49" width="12.28125" style="0" customWidth="1"/>
    <col min="50" max="50" width="12.00390625" style="0" customWidth="1"/>
    <col min="51" max="51" width="12.8515625" style="0" customWidth="1"/>
    <col min="52" max="54" width="9.00390625" style="0" customWidth="1"/>
    <col min="55" max="55" width="12.57421875" style="0" customWidth="1"/>
    <col min="56" max="56" width="11.28125" style="0" customWidth="1"/>
    <col min="57" max="57" width="9.57421875" style="0" customWidth="1"/>
    <col min="58" max="58" width="14.28125" style="0" customWidth="1"/>
    <col min="59" max="59" width="10.57421875" style="0" customWidth="1"/>
    <col min="60" max="60" width="9.57421875" style="0" customWidth="1"/>
    <col min="61" max="61" width="9.00390625" style="0" customWidth="1"/>
    <col min="62" max="62" width="9.421875" style="0" customWidth="1"/>
    <col min="64" max="64" width="11.57421875" style="0" customWidth="1"/>
    <col min="65" max="65" width="13.57421875" style="0" customWidth="1"/>
    <col min="66" max="66" width="8.57421875" style="0" customWidth="1"/>
    <col min="67" max="68" width="10.00390625" style="0" customWidth="1"/>
    <col min="69" max="69" width="9.8515625" style="0" customWidth="1"/>
    <col min="70" max="70" width="11.00390625" style="0" customWidth="1"/>
    <col min="71" max="71" width="8.140625" style="0" customWidth="1"/>
    <col min="72" max="72" width="9.8515625" style="0" customWidth="1"/>
    <col min="73" max="73" width="13.7109375" style="0" customWidth="1"/>
    <col min="74" max="76" width="19.28125" style="0" customWidth="1"/>
    <col min="77" max="77" width="11.28125" style="0" customWidth="1"/>
    <col min="78" max="78" width="10.140625" style="0" customWidth="1"/>
    <col min="79" max="80" width="11.421875" style="0" customWidth="1"/>
    <col min="81" max="81" width="12.57421875" style="0" customWidth="1"/>
    <col min="82" max="82" width="13.7109375" style="0" customWidth="1"/>
    <col min="83" max="84" width="15.421875" style="0" customWidth="1"/>
    <col min="85" max="85" width="14.28125" style="0" customWidth="1"/>
    <col min="86" max="86" width="19.7109375" style="0" customWidth="1"/>
    <col min="87" max="87" width="10.00390625" style="0" customWidth="1"/>
    <col min="88" max="88" width="12.7109375" style="0" customWidth="1"/>
    <col min="89" max="89" width="13.7109375" style="0" customWidth="1"/>
    <col min="91" max="91" width="48.00390625" style="0" customWidth="1"/>
    <col min="92" max="92" width="136.8515625" style="0" customWidth="1"/>
    <col min="93" max="93" width="14.00390625" style="0" customWidth="1"/>
  </cols>
  <sheetData>
    <row r="1" spans="2:4" ht="12.75">
      <c r="B1" t="s">
        <v>428</v>
      </c>
      <c r="D1" s="4" t="s">
        <v>443</v>
      </c>
    </row>
    <row r="2" spans="1:90" ht="12.75">
      <c r="A2" s="14"/>
      <c r="B2" s="14"/>
      <c r="C2" s="4"/>
      <c r="D2" s="3"/>
      <c r="E2" s="17"/>
      <c r="F2" s="26"/>
      <c r="G2" s="39"/>
      <c r="H2" s="3"/>
      <c r="I2" s="41"/>
      <c r="J2" s="7"/>
      <c r="K2" s="2"/>
      <c r="L2" s="16"/>
      <c r="M2" s="17"/>
      <c r="N2" s="16"/>
      <c r="O2" s="16"/>
      <c r="P2" s="2"/>
      <c r="Q2" s="41"/>
      <c r="R2" s="41"/>
      <c r="S2" s="41"/>
      <c r="T2" s="26"/>
      <c r="U2" s="26"/>
      <c r="V2" s="26"/>
      <c r="W2" s="35"/>
      <c r="X2" s="35"/>
      <c r="Y2" s="35"/>
      <c r="Z2" s="35"/>
      <c r="AA2" s="35"/>
      <c r="AB2" s="35"/>
      <c r="AC2" s="35"/>
      <c r="AD2" s="35"/>
      <c r="AE2" s="32"/>
      <c r="AF2" s="32"/>
      <c r="AG2" s="32"/>
      <c r="AH2" s="32"/>
      <c r="AI2" s="32"/>
      <c r="AJ2" s="32"/>
      <c r="AK2" s="32"/>
      <c r="AL2" s="7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4"/>
      <c r="BD2" s="35"/>
      <c r="BE2" s="35"/>
      <c r="BF2" s="35"/>
      <c r="BG2" s="35"/>
      <c r="BH2" s="35"/>
      <c r="BI2" s="35"/>
      <c r="BJ2" s="34"/>
      <c r="BK2" s="34"/>
      <c r="BL2" s="34"/>
      <c r="BM2" s="34"/>
      <c r="BN2" s="34"/>
      <c r="BQ2" s="19"/>
      <c r="BR2" s="34"/>
      <c r="BS2" s="36"/>
      <c r="BY2" s="35"/>
      <c r="BZ2" s="35"/>
      <c r="CA2" s="34"/>
      <c r="CB2" s="34"/>
      <c r="CC2" s="34"/>
      <c r="CD2" s="34"/>
      <c r="CE2" s="34"/>
      <c r="CF2" s="34"/>
      <c r="CG2" s="32"/>
      <c r="CH2" s="32"/>
      <c r="CI2" s="35"/>
      <c r="CJ2" s="32"/>
      <c r="CK2" s="32"/>
      <c r="CL2" s="19"/>
    </row>
    <row r="3" spans="1:90" ht="12.75">
      <c r="A3" s="15"/>
      <c r="B3" s="16"/>
      <c r="C3" s="14"/>
      <c r="D3" s="14"/>
      <c r="E3" s="14"/>
      <c r="F3" s="26"/>
      <c r="G3" s="39"/>
      <c r="H3" s="3"/>
      <c r="I3" s="41"/>
      <c r="J3" s="7"/>
      <c r="K3" s="2"/>
      <c r="L3" s="16"/>
      <c r="M3" s="17"/>
      <c r="N3" s="16"/>
      <c r="O3" s="16"/>
      <c r="P3" s="2"/>
      <c r="Q3" s="41"/>
      <c r="R3" s="41"/>
      <c r="S3" s="41"/>
      <c r="T3" s="26"/>
      <c r="U3" s="26"/>
      <c r="V3" s="26"/>
      <c r="W3" s="35"/>
      <c r="X3" s="35"/>
      <c r="Y3" s="35"/>
      <c r="Z3" s="35"/>
      <c r="AA3" s="35"/>
      <c r="AB3" s="35"/>
      <c r="AC3" s="35"/>
      <c r="AD3" s="35"/>
      <c r="AE3" s="32"/>
      <c r="AF3" s="32"/>
      <c r="AG3" s="32"/>
      <c r="AH3" s="32"/>
      <c r="AI3" s="32"/>
      <c r="AJ3" s="32"/>
      <c r="AK3" s="32"/>
      <c r="AL3" s="7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4"/>
      <c r="BD3" s="35"/>
      <c r="BE3" s="35"/>
      <c r="BF3" s="35"/>
      <c r="BG3" s="35"/>
      <c r="BH3" s="35"/>
      <c r="BI3" s="35"/>
      <c r="BJ3" s="34"/>
      <c r="BK3" s="34"/>
      <c r="BL3" s="34"/>
      <c r="BM3" s="34"/>
      <c r="BN3" s="34"/>
      <c r="BQ3" s="19"/>
      <c r="BR3" s="34"/>
      <c r="BS3" s="36"/>
      <c r="BY3" s="35"/>
      <c r="BZ3" s="35"/>
      <c r="CA3" s="34"/>
      <c r="CB3" s="34"/>
      <c r="CC3" s="34"/>
      <c r="CD3" s="34"/>
      <c r="CE3" s="34"/>
      <c r="CF3" s="34"/>
      <c r="CG3" s="32"/>
      <c r="CH3" s="32"/>
      <c r="CI3" s="35"/>
      <c r="CJ3" s="32"/>
      <c r="CK3" s="32"/>
      <c r="CL3" s="19"/>
    </row>
    <row r="4" spans="1:93" ht="12.75">
      <c r="A4" s="15" t="s">
        <v>1538</v>
      </c>
      <c r="B4" s="15" t="s">
        <v>988</v>
      </c>
      <c r="C4" s="15" t="s">
        <v>1339</v>
      </c>
      <c r="D4" s="15" t="s">
        <v>658</v>
      </c>
      <c r="E4" s="15" t="s">
        <v>740</v>
      </c>
      <c r="F4" s="27" t="s">
        <v>290</v>
      </c>
      <c r="G4" s="1" t="s">
        <v>1104</v>
      </c>
      <c r="H4" s="4" t="s">
        <v>1151</v>
      </c>
      <c r="I4" s="42" t="s">
        <v>1074</v>
      </c>
      <c r="J4" s="11" t="s">
        <v>1166</v>
      </c>
      <c r="K4" s="4" t="s">
        <v>642</v>
      </c>
      <c r="L4" s="15" t="s">
        <v>413</v>
      </c>
      <c r="M4" s="40" t="s">
        <v>1359</v>
      </c>
      <c r="N4" s="15" t="s">
        <v>1358</v>
      </c>
      <c r="O4" s="15" t="s">
        <v>586</v>
      </c>
      <c r="P4" s="4" t="s">
        <v>1197</v>
      </c>
      <c r="Q4" s="42" t="s">
        <v>1074</v>
      </c>
      <c r="R4" s="42" t="s">
        <v>1074</v>
      </c>
      <c r="S4" s="49" t="s">
        <v>1070</v>
      </c>
      <c r="T4" s="44" t="s">
        <v>1410</v>
      </c>
      <c r="U4" s="44" t="s">
        <v>1410</v>
      </c>
      <c r="V4" s="44" t="s">
        <v>1410</v>
      </c>
      <c r="W4" s="29" t="s">
        <v>1410</v>
      </c>
      <c r="X4" s="29" t="s">
        <v>1166</v>
      </c>
      <c r="Y4" s="29" t="s">
        <v>1168</v>
      </c>
      <c r="Z4" s="29" t="s">
        <v>1166</v>
      </c>
      <c r="AA4" s="8" t="s">
        <v>1166</v>
      </c>
      <c r="AB4" s="8" t="s">
        <v>1166</v>
      </c>
      <c r="AC4" s="8" t="s">
        <v>1166</v>
      </c>
      <c r="AD4" s="8" t="s">
        <v>1166</v>
      </c>
      <c r="AE4" s="8" t="s">
        <v>1410</v>
      </c>
      <c r="AF4" s="25" t="s">
        <v>1410</v>
      </c>
      <c r="AG4" s="8" t="s">
        <v>1410</v>
      </c>
      <c r="AH4" s="22" t="s">
        <v>1410</v>
      </c>
      <c r="AI4" s="22" t="s">
        <v>1166</v>
      </c>
      <c r="AJ4" s="22" t="s">
        <v>1166</v>
      </c>
      <c r="AK4" s="22" t="s">
        <v>1166</v>
      </c>
      <c r="AL4" s="11" t="s">
        <v>1166</v>
      </c>
      <c r="AM4" s="29" t="s">
        <v>1164</v>
      </c>
      <c r="AN4" s="29" t="s">
        <v>1335</v>
      </c>
      <c r="AO4" s="29" t="s">
        <v>1166</v>
      </c>
      <c r="AP4" s="29" t="s">
        <v>1166</v>
      </c>
      <c r="AQ4" s="29" t="s">
        <v>1166</v>
      </c>
      <c r="AR4" s="29" t="s">
        <v>1166</v>
      </c>
      <c r="AS4" s="29" t="s">
        <v>1166</v>
      </c>
      <c r="AT4" s="29" t="s">
        <v>1166</v>
      </c>
      <c r="AU4" s="29" t="s">
        <v>1166</v>
      </c>
      <c r="AV4" s="29" t="s">
        <v>1166</v>
      </c>
      <c r="AW4" s="29" t="s">
        <v>1283</v>
      </c>
      <c r="AX4" s="29" t="s">
        <v>1296</v>
      </c>
      <c r="AY4" s="29" t="s">
        <v>872</v>
      </c>
      <c r="AZ4" s="29" t="s">
        <v>571</v>
      </c>
      <c r="BA4" s="29" t="s">
        <v>1426</v>
      </c>
      <c r="BB4" s="29" t="s">
        <v>942</v>
      </c>
      <c r="BC4" s="28" t="s">
        <v>853</v>
      </c>
      <c r="BD4" s="29" t="s">
        <v>1314</v>
      </c>
      <c r="BE4" s="29" t="s">
        <v>977</v>
      </c>
      <c r="BF4" s="29" t="s">
        <v>1156</v>
      </c>
      <c r="BG4" s="29" t="s">
        <v>1367</v>
      </c>
      <c r="BH4" s="29" t="s">
        <v>889</v>
      </c>
      <c r="BI4" s="29" t="s">
        <v>1095</v>
      </c>
      <c r="BJ4" s="28" t="s">
        <v>581</v>
      </c>
      <c r="BK4" s="28" t="s">
        <v>1406</v>
      </c>
      <c r="BL4" s="28" t="s">
        <v>1411</v>
      </c>
      <c r="BM4" s="28" t="s">
        <v>611</v>
      </c>
      <c r="BN4" s="28" t="s">
        <v>678</v>
      </c>
      <c r="BO4" s="8" t="s">
        <v>1318</v>
      </c>
      <c r="BP4" s="8" t="s">
        <v>1094</v>
      </c>
      <c r="BQ4" s="8" t="s">
        <v>1404</v>
      </c>
      <c r="BR4" s="28" t="s">
        <v>1407</v>
      </c>
      <c r="BS4" s="31" t="s">
        <v>678</v>
      </c>
      <c r="BT4" s="8" t="s">
        <v>735</v>
      </c>
      <c r="BU4" s="8" t="s">
        <v>1408</v>
      </c>
      <c r="BV4" s="8" t="s">
        <v>1418</v>
      </c>
      <c r="BW4" s="8" t="s">
        <v>1418</v>
      </c>
      <c r="BX4" s="8" t="s">
        <v>1417</v>
      </c>
      <c r="BY4" s="29" t="s">
        <v>1405</v>
      </c>
      <c r="BZ4" s="29" t="s">
        <v>1167</v>
      </c>
      <c r="CA4" s="28" t="s">
        <v>805</v>
      </c>
      <c r="CB4" s="28" t="s">
        <v>1071</v>
      </c>
      <c r="CC4" s="28" t="s">
        <v>1438</v>
      </c>
      <c r="CD4" s="28" t="s">
        <v>1412</v>
      </c>
      <c r="CE4" s="28" t="s">
        <v>692</v>
      </c>
      <c r="CF4" s="28" t="s">
        <v>692</v>
      </c>
      <c r="CG4" s="22" t="s">
        <v>1438</v>
      </c>
      <c r="CH4" s="22" t="s">
        <v>739</v>
      </c>
      <c r="CI4" s="29" t="s">
        <v>1423</v>
      </c>
      <c r="CJ4" s="22" t="s">
        <v>620</v>
      </c>
      <c r="CK4" s="22" t="s">
        <v>631</v>
      </c>
      <c r="CL4" s="8" t="s">
        <v>1538</v>
      </c>
      <c r="CM4" s="8" t="s">
        <v>572</v>
      </c>
      <c r="CN4" s="8" t="s">
        <v>1210</v>
      </c>
      <c r="CO4" s="8" t="s">
        <v>545</v>
      </c>
    </row>
    <row r="5" spans="1:93" ht="12.75">
      <c r="A5" s="15"/>
      <c r="B5" s="15" t="s">
        <v>1309</v>
      </c>
      <c r="C5" s="15" t="s">
        <v>316</v>
      </c>
      <c r="D5" s="15" t="s">
        <v>1069</v>
      </c>
      <c r="E5" s="15" t="s">
        <v>1104</v>
      </c>
      <c r="F5" s="27" t="s">
        <v>1074</v>
      </c>
      <c r="G5" s="1" t="s">
        <v>1074</v>
      </c>
      <c r="H5" s="4" t="s">
        <v>950</v>
      </c>
      <c r="I5" s="42" t="s">
        <v>1080</v>
      </c>
      <c r="J5" s="11" t="s">
        <v>1</v>
      </c>
      <c r="K5" s="4" t="s">
        <v>1086</v>
      </c>
      <c r="L5" s="15" t="s">
        <v>1334</v>
      </c>
      <c r="M5" s="40" t="s">
        <v>1383</v>
      </c>
      <c r="N5" s="15" t="s">
        <v>580</v>
      </c>
      <c r="O5" s="15" t="s">
        <v>580</v>
      </c>
      <c r="P5" s="4" t="s">
        <v>606</v>
      </c>
      <c r="Q5" s="42" t="s">
        <v>1080</v>
      </c>
      <c r="R5" s="42" t="s">
        <v>1081</v>
      </c>
      <c r="S5" s="49" t="s">
        <v>1404</v>
      </c>
      <c r="T5" s="44" t="s">
        <v>939</v>
      </c>
      <c r="U5" s="44" t="s">
        <v>939</v>
      </c>
      <c r="V5" s="44" t="s">
        <v>939</v>
      </c>
      <c r="W5" s="29" t="s">
        <v>938</v>
      </c>
      <c r="X5" s="29" t="s">
        <v>938</v>
      </c>
      <c r="Y5" s="29" t="s">
        <v>1321</v>
      </c>
      <c r="Z5" s="29" t="s">
        <v>1158</v>
      </c>
      <c r="AA5" s="8" t="s">
        <v>938</v>
      </c>
      <c r="AB5" s="8" t="s">
        <v>938</v>
      </c>
      <c r="AC5" s="8" t="s">
        <v>938</v>
      </c>
      <c r="AD5" s="8" t="s">
        <v>938</v>
      </c>
      <c r="AE5" s="8" t="s">
        <v>1157</v>
      </c>
      <c r="AF5" s="8" t="s">
        <v>1157</v>
      </c>
      <c r="AG5" s="8" t="s">
        <v>1157</v>
      </c>
      <c r="AH5" s="8" t="s">
        <v>1157</v>
      </c>
      <c r="AI5" s="8" t="s">
        <v>1157</v>
      </c>
      <c r="AJ5" s="8" t="s">
        <v>1157</v>
      </c>
      <c r="AK5" s="8" t="s">
        <v>1157</v>
      </c>
      <c r="AL5" s="11" t="s">
        <v>1</v>
      </c>
      <c r="AM5" s="29" t="s">
        <v>1121</v>
      </c>
      <c r="AN5" s="29" t="s">
        <v>1165</v>
      </c>
      <c r="AO5" s="29" t="s">
        <v>23</v>
      </c>
      <c r="AP5" s="29" t="s">
        <v>23</v>
      </c>
      <c r="AQ5" s="29" t="s">
        <v>23</v>
      </c>
      <c r="AR5" s="29" t="s">
        <v>23</v>
      </c>
      <c r="AS5" s="29" t="s">
        <v>26</v>
      </c>
      <c r="AT5" s="29" t="s">
        <v>26</v>
      </c>
      <c r="AU5" s="29" t="s">
        <v>26</v>
      </c>
      <c r="AV5" s="29" t="s">
        <v>26</v>
      </c>
      <c r="AW5" s="1"/>
      <c r="AX5" s="29" t="s">
        <v>365</v>
      </c>
      <c r="AY5" s="29" t="s">
        <v>556</v>
      </c>
      <c r="AZ5" s="29"/>
      <c r="BA5" s="29" t="s">
        <v>571</v>
      </c>
      <c r="BB5" s="29" t="s">
        <v>571</v>
      </c>
      <c r="BC5" s="28"/>
      <c r="BD5" s="29"/>
      <c r="BE5" s="29" t="s">
        <v>1304</v>
      </c>
      <c r="BF5" s="29" t="s">
        <v>1286</v>
      </c>
      <c r="BG5" s="29"/>
      <c r="BH5" s="29"/>
      <c r="BI5" s="29"/>
      <c r="BJ5" s="28" t="s">
        <v>1095</v>
      </c>
      <c r="BK5" s="28" t="s">
        <v>1162</v>
      </c>
      <c r="BL5" s="28" t="s">
        <v>1085</v>
      </c>
      <c r="BM5" s="28" t="s">
        <v>1101</v>
      </c>
      <c r="BN5" s="28" t="s">
        <v>1101</v>
      </c>
      <c r="BO5" s="8" t="s">
        <v>1101</v>
      </c>
      <c r="BP5" s="8" t="s">
        <v>1101</v>
      </c>
      <c r="BQ5" s="8" t="s">
        <v>679</v>
      </c>
      <c r="BR5" s="28" t="s">
        <v>1079</v>
      </c>
      <c r="BS5" s="31" t="s">
        <v>319</v>
      </c>
      <c r="BT5" s="8" t="s">
        <v>319</v>
      </c>
      <c r="BU5" s="8" t="s">
        <v>303</v>
      </c>
      <c r="BV5" s="8" t="s">
        <v>304</v>
      </c>
      <c r="BW5" s="8" t="s">
        <v>304</v>
      </c>
      <c r="BX5" s="8" t="s">
        <v>304</v>
      </c>
      <c r="BY5" s="29" t="s">
        <v>882</v>
      </c>
      <c r="BZ5" s="29" t="s">
        <v>1143</v>
      </c>
      <c r="CA5" s="28" t="s">
        <v>1053</v>
      </c>
      <c r="CB5" s="28" t="s">
        <v>805</v>
      </c>
      <c r="CC5" s="28" t="s">
        <v>1082</v>
      </c>
      <c r="CD5" s="28" t="s">
        <v>1083</v>
      </c>
      <c r="CE5" s="29" t="s">
        <v>23</v>
      </c>
      <c r="CF5" s="28" t="s">
        <v>26</v>
      </c>
      <c r="CG5" s="22" t="s">
        <v>605</v>
      </c>
      <c r="CH5" s="8" t="s">
        <v>9</v>
      </c>
      <c r="CI5" s="29" t="s">
        <v>1078</v>
      </c>
      <c r="CJ5" s="22" t="s">
        <v>880</v>
      </c>
      <c r="CK5" s="22" t="s">
        <v>1390</v>
      </c>
      <c r="CL5" s="8"/>
      <c r="CM5" s="8"/>
      <c r="CN5" s="8" t="s">
        <v>1073</v>
      </c>
      <c r="CO5" s="1" t="s">
        <v>305</v>
      </c>
    </row>
    <row r="6" spans="1:93" ht="12.75">
      <c r="A6" s="16"/>
      <c r="B6" s="16"/>
      <c r="C6" s="16"/>
      <c r="D6" s="16"/>
      <c r="E6" s="15"/>
      <c r="F6" s="26"/>
      <c r="G6" s="39"/>
      <c r="H6" s="3"/>
      <c r="I6" s="42"/>
      <c r="J6" s="12" t="s">
        <v>8</v>
      </c>
      <c r="K6" s="3"/>
      <c r="L6" s="16"/>
      <c r="M6" s="39"/>
      <c r="N6" s="15"/>
      <c r="O6" s="15"/>
      <c r="P6" s="4"/>
      <c r="Q6" s="42"/>
      <c r="R6" s="42"/>
      <c r="S6" s="42"/>
      <c r="T6" s="44" t="s">
        <v>1161</v>
      </c>
      <c r="U6" s="46" t="s">
        <v>1320</v>
      </c>
      <c r="V6" s="46" t="s">
        <v>1115</v>
      </c>
      <c r="W6" s="37" t="s">
        <v>8</v>
      </c>
      <c r="X6" s="37" t="s">
        <v>633</v>
      </c>
      <c r="Y6" s="37" t="s">
        <v>633</v>
      </c>
      <c r="Z6" s="37" t="s">
        <v>633</v>
      </c>
      <c r="AA6" s="1" t="s">
        <v>1161</v>
      </c>
      <c r="AB6" s="1" t="s">
        <v>1320</v>
      </c>
      <c r="AC6" s="1" t="s">
        <v>1115</v>
      </c>
      <c r="AD6" s="1" t="s">
        <v>8</v>
      </c>
      <c r="AE6" s="8" t="s">
        <v>1161</v>
      </c>
      <c r="AF6" s="1" t="s">
        <v>1320</v>
      </c>
      <c r="AG6" s="1" t="s">
        <v>1115</v>
      </c>
      <c r="AH6" s="1" t="s">
        <v>8</v>
      </c>
      <c r="AI6" s="8" t="s">
        <v>1161</v>
      </c>
      <c r="AJ6" s="1" t="s">
        <v>1320</v>
      </c>
      <c r="AK6" s="1" t="s">
        <v>1115</v>
      </c>
      <c r="AL6" s="12" t="s">
        <v>8</v>
      </c>
      <c r="AM6" s="29" t="s">
        <v>881</v>
      </c>
      <c r="AN6" s="29" t="s">
        <v>25</v>
      </c>
      <c r="AO6" s="29" t="s">
        <v>1161</v>
      </c>
      <c r="AP6" s="29" t="s">
        <v>1320</v>
      </c>
      <c r="AQ6" s="29" t="s">
        <v>1115</v>
      </c>
      <c r="AR6" s="29" t="s">
        <v>8</v>
      </c>
      <c r="AS6" s="29" t="s">
        <v>1161</v>
      </c>
      <c r="AT6" s="29" t="s">
        <v>1320</v>
      </c>
      <c r="AU6" s="29" t="s">
        <v>1115</v>
      </c>
      <c r="AV6" s="29" t="s">
        <v>8</v>
      </c>
      <c r="AW6" s="29" t="s">
        <v>25</v>
      </c>
      <c r="AX6" s="29" t="s">
        <v>25</v>
      </c>
      <c r="AY6" s="29" t="s">
        <v>27</v>
      </c>
      <c r="AZ6" s="29" t="s">
        <v>25</v>
      </c>
      <c r="BA6" s="29" t="s">
        <v>25</v>
      </c>
      <c r="BB6" s="29" t="s">
        <v>25</v>
      </c>
      <c r="BC6" s="29" t="s">
        <v>25</v>
      </c>
      <c r="BD6" s="29" t="s">
        <v>25</v>
      </c>
      <c r="BE6" s="29" t="s">
        <v>25</v>
      </c>
      <c r="BF6" s="29" t="s">
        <v>25</v>
      </c>
      <c r="BG6" s="29" t="s">
        <v>25</v>
      </c>
      <c r="BH6" s="29" t="s">
        <v>25</v>
      </c>
      <c r="BI6" s="29" t="s">
        <v>25</v>
      </c>
      <c r="BJ6" s="28"/>
      <c r="BK6" s="28" t="s">
        <v>1084</v>
      </c>
      <c r="BL6" s="28" t="s">
        <v>21</v>
      </c>
      <c r="BM6" s="28" t="s">
        <v>21</v>
      </c>
      <c r="BN6" s="28" t="s">
        <v>21</v>
      </c>
      <c r="BO6" s="8" t="s">
        <v>21</v>
      </c>
      <c r="BP6" s="8" t="s">
        <v>21</v>
      </c>
      <c r="BQ6" s="8" t="s">
        <v>735</v>
      </c>
      <c r="BR6" s="8" t="s">
        <v>0</v>
      </c>
      <c r="BS6" s="31" t="s">
        <v>1404</v>
      </c>
      <c r="BT6" s="8" t="s">
        <v>1404</v>
      </c>
      <c r="BU6" s="8" t="s">
        <v>320</v>
      </c>
      <c r="BV6" s="8" t="s">
        <v>883</v>
      </c>
      <c r="BW6" s="8" t="s">
        <v>10</v>
      </c>
      <c r="BX6" s="8" t="s">
        <v>321</v>
      </c>
      <c r="BY6" s="29" t="s">
        <v>1106</v>
      </c>
      <c r="BZ6" s="29" t="s">
        <v>24</v>
      </c>
      <c r="CA6" s="28"/>
      <c r="CB6" s="28"/>
      <c r="CC6" s="28" t="s">
        <v>881</v>
      </c>
      <c r="CD6" s="28" t="s">
        <v>22</v>
      </c>
      <c r="CE6" s="28" t="s">
        <v>38</v>
      </c>
      <c r="CF6" s="28" t="s">
        <v>38</v>
      </c>
      <c r="CG6" s="22" t="s">
        <v>366</v>
      </c>
      <c r="CH6" s="22" t="s">
        <v>945</v>
      </c>
      <c r="CI6" s="29" t="s">
        <v>1120</v>
      </c>
      <c r="CJ6" s="22" t="s">
        <v>951</v>
      </c>
      <c r="CK6" s="22" t="s">
        <v>1090</v>
      </c>
      <c r="CL6" s="8"/>
      <c r="CM6" s="1"/>
      <c r="CN6" s="1"/>
      <c r="CO6" s="1"/>
    </row>
    <row r="7" spans="1:93" ht="12.75">
      <c r="A7" s="14"/>
      <c r="B7" s="14"/>
      <c r="C7" s="14"/>
      <c r="D7" s="14"/>
      <c r="E7" s="17"/>
      <c r="F7" s="9"/>
      <c r="G7" s="17"/>
      <c r="H7" s="2"/>
      <c r="I7" s="43"/>
      <c r="J7" s="12"/>
      <c r="K7" s="2"/>
      <c r="L7" s="14"/>
      <c r="M7" s="17"/>
      <c r="N7" s="15"/>
      <c r="O7" s="15"/>
      <c r="P7" s="48"/>
      <c r="Q7" s="43"/>
      <c r="R7" s="43"/>
      <c r="S7" s="43"/>
      <c r="T7" s="44"/>
      <c r="U7" s="46"/>
      <c r="V7" s="46"/>
      <c r="W7" s="37"/>
      <c r="X7" s="37"/>
      <c r="Y7" s="37"/>
      <c r="Z7" s="37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2"/>
      <c r="AM7" s="29" t="s">
        <v>884</v>
      </c>
      <c r="AN7" s="29" t="s">
        <v>5</v>
      </c>
      <c r="AO7" s="29"/>
      <c r="AP7" s="29"/>
      <c r="AQ7" s="29"/>
      <c r="AR7" s="29"/>
      <c r="AS7" s="29"/>
      <c r="AT7" s="29"/>
      <c r="AU7" s="29"/>
      <c r="AV7" s="29"/>
      <c r="AW7" s="29" t="s">
        <v>633</v>
      </c>
      <c r="AX7" s="29" t="s">
        <v>633</v>
      </c>
      <c r="AY7" s="29" t="s">
        <v>633</v>
      </c>
      <c r="AZ7" s="29" t="s">
        <v>633</v>
      </c>
      <c r="BA7" s="29" t="s">
        <v>633</v>
      </c>
      <c r="BB7" s="29" t="s">
        <v>633</v>
      </c>
      <c r="BC7" s="29" t="s">
        <v>633</v>
      </c>
      <c r="BD7" s="29" t="s">
        <v>633</v>
      </c>
      <c r="BE7" s="29" t="s">
        <v>633</v>
      </c>
      <c r="BF7" s="29" t="s">
        <v>633</v>
      </c>
      <c r="BG7" s="29" t="s">
        <v>633</v>
      </c>
      <c r="BH7" s="29" t="s">
        <v>633</v>
      </c>
      <c r="BI7" s="29" t="s">
        <v>633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29"/>
      <c r="BZ7" s="1"/>
      <c r="CA7" s="28"/>
      <c r="CB7" s="28"/>
      <c r="CC7" s="28"/>
      <c r="CD7" s="28"/>
      <c r="CE7" s="28"/>
      <c r="CF7" s="28"/>
      <c r="CG7" s="1"/>
      <c r="CH7" s="1"/>
      <c r="CI7" s="1"/>
      <c r="CJ7" s="1"/>
      <c r="CK7" s="1"/>
      <c r="CL7" s="1"/>
      <c r="CM7" s="1"/>
      <c r="CN7" s="1"/>
      <c r="CO7" s="1"/>
    </row>
    <row r="8" spans="1:107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27">
        <v>6</v>
      </c>
      <c r="G8" s="27">
        <v>7</v>
      </c>
      <c r="H8" s="27">
        <v>8</v>
      </c>
      <c r="I8" s="18">
        <v>15</v>
      </c>
      <c r="J8" s="18">
        <v>35</v>
      </c>
      <c r="K8" s="18">
        <v>9</v>
      </c>
      <c r="L8" s="27">
        <v>10</v>
      </c>
      <c r="M8" s="18">
        <v>11</v>
      </c>
      <c r="N8" s="27">
        <v>12</v>
      </c>
      <c r="O8" s="18">
        <v>13</v>
      </c>
      <c r="P8" s="47">
        <v>14</v>
      </c>
      <c r="Q8" s="18">
        <v>15</v>
      </c>
      <c r="R8" s="27">
        <v>16</v>
      </c>
      <c r="S8" s="27">
        <v>17</v>
      </c>
      <c r="T8" s="27">
        <v>18</v>
      </c>
      <c r="U8" s="18">
        <v>19</v>
      </c>
      <c r="V8" s="27">
        <v>20</v>
      </c>
      <c r="W8" s="18">
        <v>21</v>
      </c>
      <c r="X8" s="27">
        <v>22</v>
      </c>
      <c r="Y8" s="18">
        <v>23</v>
      </c>
      <c r="Z8" s="18">
        <v>24</v>
      </c>
      <c r="AA8" s="18">
        <v>25</v>
      </c>
      <c r="AB8" s="18">
        <v>26</v>
      </c>
      <c r="AC8" s="18">
        <v>26</v>
      </c>
      <c r="AD8" s="18">
        <v>27</v>
      </c>
      <c r="AE8" s="27">
        <v>28</v>
      </c>
      <c r="AF8" s="18">
        <v>29</v>
      </c>
      <c r="AG8" s="27">
        <v>30</v>
      </c>
      <c r="AH8" s="18">
        <v>31</v>
      </c>
      <c r="AI8" s="27">
        <v>32</v>
      </c>
      <c r="AJ8" s="18">
        <v>33</v>
      </c>
      <c r="AK8" s="27">
        <v>34</v>
      </c>
      <c r="AL8" s="18">
        <v>35</v>
      </c>
      <c r="AM8" s="27">
        <v>36</v>
      </c>
      <c r="AN8" s="18">
        <v>37</v>
      </c>
      <c r="AO8" s="27">
        <v>38</v>
      </c>
      <c r="AP8" s="18">
        <v>39</v>
      </c>
      <c r="AQ8" s="18">
        <v>40</v>
      </c>
      <c r="AR8" s="27">
        <v>41</v>
      </c>
      <c r="AS8" s="18">
        <v>42</v>
      </c>
      <c r="AT8" s="18">
        <v>43</v>
      </c>
      <c r="AU8" s="18">
        <v>44</v>
      </c>
      <c r="AV8" s="27">
        <v>45</v>
      </c>
      <c r="AW8" s="18">
        <v>46</v>
      </c>
      <c r="AX8" s="27">
        <v>47</v>
      </c>
      <c r="AY8" s="18">
        <v>48</v>
      </c>
      <c r="AZ8" s="27">
        <v>49</v>
      </c>
      <c r="BA8" s="18">
        <v>50</v>
      </c>
      <c r="BB8" s="27">
        <v>51</v>
      </c>
      <c r="BC8" s="18">
        <v>52</v>
      </c>
      <c r="BD8" s="27">
        <v>53</v>
      </c>
      <c r="BE8" s="18">
        <v>54</v>
      </c>
      <c r="BF8" s="27">
        <v>55</v>
      </c>
      <c r="BG8" s="18">
        <v>56</v>
      </c>
      <c r="BH8" s="18">
        <v>57</v>
      </c>
      <c r="BI8" s="18">
        <v>58</v>
      </c>
      <c r="BJ8" s="18">
        <v>59</v>
      </c>
      <c r="BK8" s="18">
        <v>60</v>
      </c>
      <c r="BL8" s="18">
        <v>61</v>
      </c>
      <c r="BM8" s="18">
        <v>62</v>
      </c>
      <c r="BN8" s="27">
        <v>63</v>
      </c>
      <c r="BO8" s="27">
        <v>64</v>
      </c>
      <c r="BP8" s="27">
        <v>65</v>
      </c>
      <c r="BQ8" s="27">
        <v>66</v>
      </c>
      <c r="BR8" s="27">
        <v>67</v>
      </c>
      <c r="BS8" s="27">
        <v>68</v>
      </c>
      <c r="BT8" s="27">
        <v>69</v>
      </c>
      <c r="BU8" s="27">
        <v>70</v>
      </c>
      <c r="BV8" s="27">
        <v>71</v>
      </c>
      <c r="BW8" s="27">
        <v>72</v>
      </c>
      <c r="BX8" s="27">
        <v>73</v>
      </c>
      <c r="BY8" s="27">
        <v>74</v>
      </c>
      <c r="BZ8" s="27">
        <v>75</v>
      </c>
      <c r="CA8" s="27">
        <v>76</v>
      </c>
      <c r="CB8" s="27">
        <v>77</v>
      </c>
      <c r="CC8" s="18">
        <v>78</v>
      </c>
      <c r="CD8" s="18">
        <v>79</v>
      </c>
      <c r="CE8" s="18">
        <v>80</v>
      </c>
      <c r="CF8" s="18">
        <v>81</v>
      </c>
      <c r="CG8" s="18">
        <v>82</v>
      </c>
      <c r="CH8" s="18">
        <v>83</v>
      </c>
      <c r="CI8" s="18">
        <v>84</v>
      </c>
      <c r="CJ8" s="18">
        <v>85</v>
      </c>
      <c r="CK8" s="18">
        <v>86</v>
      </c>
      <c r="CL8" s="18">
        <v>87</v>
      </c>
      <c r="CM8" s="18">
        <v>88</v>
      </c>
      <c r="CN8" s="18">
        <v>89</v>
      </c>
      <c r="CO8" s="18">
        <v>90</v>
      </c>
      <c r="CP8" s="18"/>
      <c r="CQ8" s="27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10" spans="1:92" ht="12.75">
      <c r="A10" s="15">
        <v>1418</v>
      </c>
      <c r="B10" s="14" t="s">
        <v>952</v>
      </c>
      <c r="C10" s="14" t="s">
        <v>558</v>
      </c>
      <c r="D10" s="14" t="s">
        <v>254</v>
      </c>
      <c r="E10" s="14" t="s">
        <v>286</v>
      </c>
      <c r="F10" s="2" t="s">
        <v>48</v>
      </c>
      <c r="G10" s="2">
        <v>1</v>
      </c>
      <c r="H10" s="2" t="s">
        <v>428</v>
      </c>
      <c r="I10" s="5">
        <v>14.5</v>
      </c>
      <c r="J10" s="23">
        <v>6.75</v>
      </c>
      <c r="K10" s="2" t="s">
        <v>528</v>
      </c>
      <c r="L10" s="14" t="s">
        <v>326</v>
      </c>
      <c r="M10" s="2" t="s">
        <v>439</v>
      </c>
      <c r="N10" s="14" t="s">
        <v>408</v>
      </c>
      <c r="O10" s="14" t="s">
        <v>353</v>
      </c>
      <c r="P10" s="2" t="s">
        <v>1496</v>
      </c>
      <c r="Q10" s="5">
        <v>14.5</v>
      </c>
      <c r="R10" s="10"/>
      <c r="S10" s="10"/>
      <c r="T10" s="9"/>
      <c r="U10" s="9"/>
      <c r="V10" s="9"/>
      <c r="W10" s="45">
        <v>1174.5</v>
      </c>
      <c r="X10" s="45">
        <v>81</v>
      </c>
      <c r="Y10" s="23"/>
      <c r="Z10" s="6">
        <v>6.75</v>
      </c>
      <c r="AH10" s="23">
        <v>97.875</v>
      </c>
      <c r="AL10" s="23">
        <v>6.75</v>
      </c>
      <c r="AM10" s="23"/>
      <c r="AW10" s="23"/>
      <c r="AZ10" s="23">
        <v>6.75</v>
      </c>
      <c r="BI10" s="6"/>
      <c r="BR10" s="45"/>
      <c r="BS10" s="36"/>
      <c r="BT10" s="36"/>
      <c r="BU10" s="21"/>
      <c r="BV10" s="34"/>
      <c r="BW10" s="34"/>
      <c r="BX10" s="36"/>
      <c r="BY10" s="20">
        <v>1174.5</v>
      </c>
      <c r="BZ10" s="20">
        <v>81</v>
      </c>
      <c r="CL10">
        <v>1418</v>
      </c>
      <c r="CM10" s="2" t="s">
        <v>439</v>
      </c>
      <c r="CN10" t="s">
        <v>1011</v>
      </c>
    </row>
    <row r="11" spans="1:92" ht="12.75">
      <c r="A11" s="15">
        <v>1418</v>
      </c>
      <c r="B11" s="14" t="s">
        <v>952</v>
      </c>
      <c r="C11" s="14" t="s">
        <v>558</v>
      </c>
      <c r="D11" s="14" t="s">
        <v>254</v>
      </c>
      <c r="E11" s="14" t="s">
        <v>286</v>
      </c>
      <c r="F11" s="2" t="s">
        <v>49</v>
      </c>
      <c r="G11" s="2">
        <v>1</v>
      </c>
      <c r="H11" s="2" t="s">
        <v>428</v>
      </c>
      <c r="I11" s="10">
        <v>14.5</v>
      </c>
      <c r="J11" s="23">
        <v>6.75</v>
      </c>
      <c r="K11" s="2" t="s">
        <v>529</v>
      </c>
      <c r="L11" s="14" t="s">
        <v>326</v>
      </c>
      <c r="M11" s="2" t="s">
        <v>470</v>
      </c>
      <c r="N11" s="14" t="s">
        <v>408</v>
      </c>
      <c r="O11" s="14" t="s">
        <v>1525</v>
      </c>
      <c r="P11" s="2" t="s">
        <v>1496</v>
      </c>
      <c r="Q11" s="10">
        <v>14.5</v>
      </c>
      <c r="R11" s="10"/>
      <c r="S11" s="10"/>
      <c r="T11" s="9"/>
      <c r="U11" s="9"/>
      <c r="V11" s="9"/>
      <c r="W11" s="45">
        <v>1174.5</v>
      </c>
      <c r="X11" s="45">
        <v>81</v>
      </c>
      <c r="Y11" s="23">
        <v>49.09090909090909</v>
      </c>
      <c r="Z11" s="6">
        <v>6.75</v>
      </c>
      <c r="AH11" s="23">
        <v>97.875</v>
      </c>
      <c r="AL11" s="23">
        <v>6.75</v>
      </c>
      <c r="AM11" s="23">
        <v>4.090909090909091</v>
      </c>
      <c r="AY11" s="7"/>
      <c r="AZ11" s="23">
        <v>6.75</v>
      </c>
      <c r="BF11" s="7"/>
      <c r="BG11" s="19"/>
      <c r="BH11" s="19"/>
      <c r="BI11" s="23"/>
      <c r="BR11" s="34"/>
      <c r="BU11" s="21"/>
      <c r="BY11" s="20">
        <v>1174.5</v>
      </c>
      <c r="BZ11" s="20">
        <v>81</v>
      </c>
      <c r="CL11">
        <v>1418</v>
      </c>
      <c r="CM11" s="2" t="s">
        <v>470</v>
      </c>
      <c r="CN11" t="s">
        <v>1012</v>
      </c>
    </row>
    <row r="12" spans="1:92" ht="12.75">
      <c r="A12" s="15">
        <v>1418</v>
      </c>
      <c r="B12" s="14" t="s">
        <v>952</v>
      </c>
      <c r="C12" s="14" t="s">
        <v>558</v>
      </c>
      <c r="D12" s="14" t="s">
        <v>254</v>
      </c>
      <c r="E12" s="14" t="s">
        <v>286</v>
      </c>
      <c r="F12" s="2" t="s">
        <v>50</v>
      </c>
      <c r="G12" s="2">
        <v>1</v>
      </c>
      <c r="H12" s="2" t="s">
        <v>428</v>
      </c>
      <c r="I12" s="10">
        <v>11</v>
      </c>
      <c r="J12" s="23">
        <v>4.7</v>
      </c>
      <c r="K12" s="2" t="s">
        <v>727</v>
      </c>
      <c r="L12" s="14" t="s">
        <v>326</v>
      </c>
      <c r="M12" s="2" t="s">
        <v>468</v>
      </c>
      <c r="N12" s="14" t="s">
        <v>410</v>
      </c>
      <c r="O12" s="14" t="s">
        <v>1460</v>
      </c>
      <c r="P12" s="2" t="s">
        <v>1499</v>
      </c>
      <c r="Q12" s="10">
        <v>11</v>
      </c>
      <c r="R12" s="10"/>
      <c r="S12" s="10"/>
      <c r="T12" s="9"/>
      <c r="U12" s="9"/>
      <c r="V12" s="9"/>
      <c r="W12" s="45">
        <v>620.4000000000001</v>
      </c>
      <c r="X12" s="45">
        <v>56.400000000000006</v>
      </c>
      <c r="Y12" s="23">
        <v>31.333333333333336</v>
      </c>
      <c r="Z12" s="6">
        <v>4.7</v>
      </c>
      <c r="AH12" s="23">
        <v>51.7</v>
      </c>
      <c r="AL12" s="23">
        <v>4.7</v>
      </c>
      <c r="AM12" s="23">
        <v>2.611111111111111</v>
      </c>
      <c r="AY12" s="7"/>
      <c r="BF12" s="7"/>
      <c r="BG12" s="19"/>
      <c r="BH12" s="19"/>
      <c r="BI12" s="23"/>
      <c r="BR12" s="34"/>
      <c r="BU12" s="21"/>
      <c r="BY12" s="20">
        <v>620.4000000000001</v>
      </c>
      <c r="BZ12" s="20">
        <v>56.400000000000006</v>
      </c>
      <c r="CL12">
        <v>1418</v>
      </c>
      <c r="CM12" s="2" t="s">
        <v>468</v>
      </c>
      <c r="CN12" t="s">
        <v>1033</v>
      </c>
    </row>
    <row r="13" spans="1:91" ht="12.75">
      <c r="A13" s="15">
        <v>1418</v>
      </c>
      <c r="B13" s="14" t="s">
        <v>952</v>
      </c>
      <c r="C13" s="14" t="s">
        <v>558</v>
      </c>
      <c r="D13" s="14" t="s">
        <v>254</v>
      </c>
      <c r="E13" s="14" t="s">
        <v>286</v>
      </c>
      <c r="F13" s="2" t="s">
        <v>51</v>
      </c>
      <c r="G13" s="2">
        <v>1</v>
      </c>
      <c r="H13" s="2" t="s">
        <v>428</v>
      </c>
      <c r="I13" s="10">
        <v>1</v>
      </c>
      <c r="J13" s="23">
        <v>5.5</v>
      </c>
      <c r="K13" s="2" t="s">
        <v>783</v>
      </c>
      <c r="L13" s="14" t="s">
        <v>326</v>
      </c>
      <c r="M13" s="2" t="s">
        <v>465</v>
      </c>
      <c r="N13" s="14" t="s">
        <v>408</v>
      </c>
      <c r="O13" s="14" t="s">
        <v>944</v>
      </c>
      <c r="P13" s="2" t="s">
        <v>567</v>
      </c>
      <c r="Q13" s="10">
        <v>1</v>
      </c>
      <c r="R13" s="10"/>
      <c r="S13" s="10"/>
      <c r="T13" s="9"/>
      <c r="U13" s="9"/>
      <c r="V13" s="9"/>
      <c r="W13" s="45">
        <v>66</v>
      </c>
      <c r="X13" s="45">
        <v>66</v>
      </c>
      <c r="Y13" s="23"/>
      <c r="Z13" s="6">
        <v>5.5</v>
      </c>
      <c r="AE13">
        <v>5</v>
      </c>
      <c r="AF13">
        <v>10</v>
      </c>
      <c r="AG13">
        <v>0</v>
      </c>
      <c r="AH13" s="23">
        <v>5.5</v>
      </c>
      <c r="AL13" s="23">
        <v>5.5</v>
      </c>
      <c r="AM13" s="23"/>
      <c r="AW13" s="23"/>
      <c r="AY13" s="7"/>
      <c r="AZ13" s="23">
        <v>5.5</v>
      </c>
      <c r="BA13" s="23"/>
      <c r="BF13" s="7"/>
      <c r="BG13" s="19"/>
      <c r="BH13" s="19"/>
      <c r="BI13" s="23"/>
      <c r="BR13" s="34"/>
      <c r="BU13" s="21"/>
      <c r="BY13" s="20">
        <v>66</v>
      </c>
      <c r="BZ13" s="20">
        <v>66</v>
      </c>
      <c r="CL13">
        <v>1418</v>
      </c>
      <c r="CM13" s="2" t="s">
        <v>465</v>
      </c>
    </row>
    <row r="14" spans="1:91" ht="12.75">
      <c r="A14" s="15">
        <v>1418</v>
      </c>
      <c r="B14" s="14" t="s">
        <v>952</v>
      </c>
      <c r="C14" s="14" t="s">
        <v>558</v>
      </c>
      <c r="D14" s="14" t="s">
        <v>254</v>
      </c>
      <c r="E14" s="14" t="s">
        <v>286</v>
      </c>
      <c r="F14" s="2" t="s">
        <v>52</v>
      </c>
      <c r="G14" s="2">
        <v>1</v>
      </c>
      <c r="H14" s="2" t="s">
        <v>428</v>
      </c>
      <c r="I14" s="10">
        <v>2</v>
      </c>
      <c r="J14" s="23">
        <v>4.3</v>
      </c>
      <c r="K14" s="2" t="s">
        <v>1558</v>
      </c>
      <c r="L14" s="14" t="s">
        <v>326</v>
      </c>
      <c r="M14" s="2" t="s">
        <v>446</v>
      </c>
      <c r="N14" s="14" t="s">
        <v>410</v>
      </c>
      <c r="O14" s="14" t="s">
        <v>753</v>
      </c>
      <c r="P14" s="2" t="s">
        <v>1310</v>
      </c>
      <c r="Q14" s="10">
        <v>2</v>
      </c>
      <c r="R14" s="10"/>
      <c r="S14" s="10"/>
      <c r="T14" s="9"/>
      <c r="U14" s="9"/>
      <c r="V14" s="9"/>
      <c r="W14" s="45">
        <v>103.19999999999999</v>
      </c>
      <c r="X14" s="45">
        <v>51.599999999999994</v>
      </c>
      <c r="Y14" s="23"/>
      <c r="Z14" s="6">
        <v>4.3</v>
      </c>
      <c r="AD14" s="45"/>
      <c r="AH14" s="23">
        <v>8.6</v>
      </c>
      <c r="AL14" s="23">
        <v>4.3</v>
      </c>
      <c r="AM14" s="23"/>
      <c r="AZ14" s="23"/>
      <c r="BD14" s="23">
        <v>4.3</v>
      </c>
      <c r="BU14" s="21"/>
      <c r="BY14" s="20">
        <v>103.19999999999999</v>
      </c>
      <c r="BZ14" s="20">
        <v>51.599999999999994</v>
      </c>
      <c r="CL14">
        <v>1418</v>
      </c>
      <c r="CM14" s="2" t="s">
        <v>446</v>
      </c>
    </row>
    <row r="15" spans="1:91" ht="12.75">
      <c r="A15" s="15">
        <v>1418</v>
      </c>
      <c r="B15" s="14" t="s">
        <v>952</v>
      </c>
      <c r="C15" s="14" t="s">
        <v>558</v>
      </c>
      <c r="D15" s="14" t="s">
        <v>254</v>
      </c>
      <c r="E15" s="14" t="s">
        <v>286</v>
      </c>
      <c r="F15" s="2" t="s">
        <v>53</v>
      </c>
      <c r="G15" s="2">
        <v>1</v>
      </c>
      <c r="H15" s="2" t="s">
        <v>428</v>
      </c>
      <c r="I15" s="10">
        <v>1</v>
      </c>
      <c r="J15" s="23">
        <v>4.2</v>
      </c>
      <c r="K15" s="2" t="s">
        <v>1558</v>
      </c>
      <c r="L15" s="14" t="s">
        <v>326</v>
      </c>
      <c r="M15" s="2" t="s">
        <v>446</v>
      </c>
      <c r="N15" s="14" t="s">
        <v>410</v>
      </c>
      <c r="O15" s="14" t="s">
        <v>753</v>
      </c>
      <c r="P15" s="2" t="s">
        <v>636</v>
      </c>
      <c r="Q15" s="10">
        <v>1</v>
      </c>
      <c r="R15" s="10"/>
      <c r="S15" s="10"/>
      <c r="T15" s="9"/>
      <c r="U15" s="9"/>
      <c r="V15" s="9"/>
      <c r="W15" s="45">
        <v>50.400000000000006</v>
      </c>
      <c r="X15" s="45">
        <v>50.400000000000006</v>
      </c>
      <c r="Y15" s="23"/>
      <c r="Z15" s="6">
        <v>4.2</v>
      </c>
      <c r="AE15">
        <v>4</v>
      </c>
      <c r="AF15">
        <v>4</v>
      </c>
      <c r="AG15">
        <v>0</v>
      </c>
      <c r="AH15" s="23">
        <v>4.2</v>
      </c>
      <c r="AL15" s="23">
        <v>4.2</v>
      </c>
      <c r="AM15" s="23"/>
      <c r="AZ15" s="23">
        <v>4.2</v>
      </c>
      <c r="BA15" s="19"/>
      <c r="BB15" s="19"/>
      <c r="BD15" s="23"/>
      <c r="BI15" s="23"/>
      <c r="BR15" s="34"/>
      <c r="BU15" s="21"/>
      <c r="BY15" s="20">
        <v>50.400000000000006</v>
      </c>
      <c r="BZ15" s="20">
        <v>50.400000000000006</v>
      </c>
      <c r="CL15">
        <v>1418</v>
      </c>
      <c r="CM15" s="2" t="s">
        <v>446</v>
      </c>
    </row>
    <row r="16" spans="1:91" ht="12.75">
      <c r="A16" s="15">
        <v>1418</v>
      </c>
      <c r="B16" s="14" t="s">
        <v>952</v>
      </c>
      <c r="C16" s="14" t="s">
        <v>558</v>
      </c>
      <c r="D16" s="14" t="s">
        <v>254</v>
      </c>
      <c r="E16" s="14" t="s">
        <v>286</v>
      </c>
      <c r="F16" s="2" t="s">
        <v>54</v>
      </c>
      <c r="G16" s="2">
        <v>1</v>
      </c>
      <c r="H16" s="2" t="s">
        <v>428</v>
      </c>
      <c r="I16" s="10">
        <v>1</v>
      </c>
      <c r="J16" s="23">
        <v>4.25</v>
      </c>
      <c r="K16" s="2" t="s">
        <v>836</v>
      </c>
      <c r="L16" s="14" t="s">
        <v>326</v>
      </c>
      <c r="M16" s="2" t="s">
        <v>473</v>
      </c>
      <c r="N16" s="14" t="s">
        <v>410</v>
      </c>
      <c r="O16" s="14" t="s">
        <v>745</v>
      </c>
      <c r="P16" s="2" t="s">
        <v>1478</v>
      </c>
      <c r="Q16" s="10">
        <v>1</v>
      </c>
      <c r="R16" s="10"/>
      <c r="S16" s="10"/>
      <c r="T16" s="9"/>
      <c r="U16" s="9"/>
      <c r="V16" s="9"/>
      <c r="W16" s="45">
        <v>51</v>
      </c>
      <c r="X16" s="45">
        <v>51</v>
      </c>
      <c r="Y16" s="23"/>
      <c r="Z16" s="6">
        <v>4.25</v>
      </c>
      <c r="AE16">
        <v>4</v>
      </c>
      <c r="AF16">
        <v>5</v>
      </c>
      <c r="AG16">
        <v>0</v>
      </c>
      <c r="AH16" s="23">
        <v>4.25</v>
      </c>
      <c r="AL16" s="23">
        <v>4.25</v>
      </c>
      <c r="AM16" s="23"/>
      <c r="AZ16" s="7"/>
      <c r="BA16" s="19"/>
      <c r="BB16" s="19"/>
      <c r="BG16" s="23"/>
      <c r="BI16" s="23">
        <v>4.25</v>
      </c>
      <c r="BR16" s="34"/>
      <c r="BU16" s="21"/>
      <c r="BY16" s="20">
        <v>51</v>
      </c>
      <c r="BZ16" s="20">
        <v>51</v>
      </c>
      <c r="CL16">
        <v>1418</v>
      </c>
      <c r="CM16" s="2" t="s">
        <v>473</v>
      </c>
    </row>
    <row r="18" spans="1:92" ht="12.75">
      <c r="A18" s="15">
        <v>1418</v>
      </c>
      <c r="B18" s="14" t="s">
        <v>952</v>
      </c>
      <c r="C18" s="14" t="s">
        <v>558</v>
      </c>
      <c r="D18" s="14" t="s">
        <v>254</v>
      </c>
      <c r="E18" s="14" t="s">
        <v>286</v>
      </c>
      <c r="F18" s="2" t="s">
        <v>59</v>
      </c>
      <c r="G18" s="2">
        <v>2</v>
      </c>
      <c r="H18" s="2" t="s">
        <v>428</v>
      </c>
      <c r="I18" s="10">
        <v>50</v>
      </c>
      <c r="J18" s="23">
        <v>4</v>
      </c>
      <c r="K18" s="2" t="s">
        <v>834</v>
      </c>
      <c r="L18" s="14" t="s">
        <v>326</v>
      </c>
      <c r="M18" s="2" t="s">
        <v>472</v>
      </c>
      <c r="N18" s="14" t="s">
        <v>410</v>
      </c>
      <c r="O18" s="14" t="s">
        <v>747</v>
      </c>
      <c r="P18" s="2" t="s">
        <v>1301</v>
      </c>
      <c r="Q18" s="10">
        <v>50</v>
      </c>
      <c r="R18" s="10"/>
      <c r="S18" s="10"/>
      <c r="T18" s="9"/>
      <c r="U18" s="9"/>
      <c r="V18" s="9"/>
      <c r="W18" s="45">
        <v>2400</v>
      </c>
      <c r="X18" s="45">
        <v>48</v>
      </c>
      <c r="Y18" s="23"/>
      <c r="Z18" s="6">
        <v>4</v>
      </c>
      <c r="AE18">
        <v>200</v>
      </c>
      <c r="AF18">
        <v>0</v>
      </c>
      <c r="AG18">
        <v>0</v>
      </c>
      <c r="AH18" s="23">
        <v>200</v>
      </c>
      <c r="AI18">
        <v>4</v>
      </c>
      <c r="AJ18">
        <v>0</v>
      </c>
      <c r="AK18">
        <v>0</v>
      </c>
      <c r="AL18" s="23">
        <v>4</v>
      </c>
      <c r="AW18" s="23"/>
      <c r="BA18" s="23"/>
      <c r="BE18" s="23">
        <v>4</v>
      </c>
      <c r="BI18" s="23"/>
      <c r="BR18" s="34"/>
      <c r="BU18" s="21"/>
      <c r="BY18" s="20">
        <v>2400</v>
      </c>
      <c r="BZ18" s="20">
        <v>48</v>
      </c>
      <c r="CL18">
        <v>1418</v>
      </c>
      <c r="CM18" s="2" t="s">
        <v>472</v>
      </c>
      <c r="CN18" t="s">
        <v>1015</v>
      </c>
    </row>
    <row r="20" spans="1:92" ht="12.75">
      <c r="A20" s="15">
        <v>1418</v>
      </c>
      <c r="B20" s="14" t="s">
        <v>1076</v>
      </c>
      <c r="C20" s="14" t="s">
        <v>558</v>
      </c>
      <c r="D20" s="14" t="s">
        <v>255</v>
      </c>
      <c r="E20" s="14" t="s">
        <v>281</v>
      </c>
      <c r="F20" s="2" t="s">
        <v>62</v>
      </c>
      <c r="G20" s="2">
        <v>1</v>
      </c>
      <c r="H20" t="s">
        <v>428</v>
      </c>
      <c r="I20" s="10">
        <v>7</v>
      </c>
      <c r="J20" s="23">
        <v>5.05</v>
      </c>
      <c r="K20" t="s">
        <v>697</v>
      </c>
      <c r="L20" s="14" t="s">
        <v>326</v>
      </c>
      <c r="M20" s="2" t="s">
        <v>451</v>
      </c>
      <c r="N20" s="14" t="s">
        <v>410</v>
      </c>
      <c r="O20" s="14" t="s">
        <v>347</v>
      </c>
      <c r="P20" s="2" t="s">
        <v>1494</v>
      </c>
      <c r="Q20" s="10">
        <v>7</v>
      </c>
      <c r="R20" s="10"/>
      <c r="S20" s="10"/>
      <c r="T20" s="9"/>
      <c r="U20" s="9"/>
      <c r="V20" s="9"/>
      <c r="W20" s="45">
        <v>424.19999999999993</v>
      </c>
      <c r="X20" s="45">
        <v>60.599999999999994</v>
      </c>
      <c r="Y20" s="23"/>
      <c r="Z20" s="6">
        <v>5.05</v>
      </c>
      <c r="AH20" s="23">
        <v>35.35</v>
      </c>
      <c r="AI20">
        <v>5</v>
      </c>
      <c r="AJ20">
        <v>1</v>
      </c>
      <c r="AK20">
        <v>0</v>
      </c>
      <c r="AL20" s="23">
        <v>5.05</v>
      </c>
      <c r="AZ20" s="7"/>
      <c r="BA20" s="19"/>
      <c r="BB20" s="19"/>
      <c r="BE20" s="23"/>
      <c r="BG20" s="23"/>
      <c r="BR20" s="34"/>
      <c r="BU20" s="21"/>
      <c r="BY20" s="20">
        <v>424.19999999999993</v>
      </c>
      <c r="BZ20" s="20">
        <v>60.59999999999999</v>
      </c>
      <c r="CL20">
        <v>1418</v>
      </c>
      <c r="CM20" s="2" t="s">
        <v>451</v>
      </c>
      <c r="CN20" t="s">
        <v>1048</v>
      </c>
    </row>
    <row r="21" spans="1:91" ht="12.75">
      <c r="A21" s="15">
        <v>1418</v>
      </c>
      <c r="B21" s="14" t="s">
        <v>1076</v>
      </c>
      <c r="C21" s="14" t="s">
        <v>558</v>
      </c>
      <c r="D21" s="14" t="s">
        <v>255</v>
      </c>
      <c r="E21" s="14" t="s">
        <v>281</v>
      </c>
      <c r="F21" s="2" t="s">
        <v>63</v>
      </c>
      <c r="G21" s="2">
        <v>1</v>
      </c>
      <c r="H21" t="s">
        <v>428</v>
      </c>
      <c r="I21" s="10">
        <v>4</v>
      </c>
      <c r="J21" s="23">
        <v>5.125</v>
      </c>
      <c r="K21" t="s">
        <v>697</v>
      </c>
      <c r="L21" s="14" t="s">
        <v>326</v>
      </c>
      <c r="M21" s="2" t="s">
        <v>451</v>
      </c>
      <c r="N21" s="14" t="s">
        <v>410</v>
      </c>
      <c r="O21" s="14" t="s">
        <v>347</v>
      </c>
      <c r="P21" s="2" t="s">
        <v>1495</v>
      </c>
      <c r="Q21" s="10">
        <v>4</v>
      </c>
      <c r="R21" s="10"/>
      <c r="S21" s="10"/>
      <c r="T21" s="9"/>
      <c r="U21" s="9"/>
      <c r="V21" s="9"/>
      <c r="W21" s="45">
        <v>246</v>
      </c>
      <c r="X21" s="45">
        <v>61.5</v>
      </c>
      <c r="Y21" s="23"/>
      <c r="Z21" s="6">
        <v>5.125</v>
      </c>
      <c r="AD21" s="45"/>
      <c r="AH21" s="23">
        <v>20.5</v>
      </c>
      <c r="AI21">
        <v>5</v>
      </c>
      <c r="AJ21">
        <v>2</v>
      </c>
      <c r="AK21">
        <v>6</v>
      </c>
      <c r="AL21" s="23">
        <v>5.125</v>
      </c>
      <c r="AM21" s="23"/>
      <c r="AZ21" s="23"/>
      <c r="BD21" s="7"/>
      <c r="BI21" s="23"/>
      <c r="BR21" s="34"/>
      <c r="BU21" s="21"/>
      <c r="BY21" s="20">
        <v>246</v>
      </c>
      <c r="BZ21" s="20">
        <v>61.5</v>
      </c>
      <c r="CL21">
        <v>1418</v>
      </c>
      <c r="CM21" s="2" t="s">
        <v>451</v>
      </c>
    </row>
    <row r="22" spans="1:92" ht="12.75">
      <c r="A22" s="15">
        <v>1418</v>
      </c>
      <c r="B22" s="14" t="s">
        <v>1076</v>
      </c>
      <c r="C22" s="14" t="s">
        <v>558</v>
      </c>
      <c r="D22" s="14" t="s">
        <v>255</v>
      </c>
      <c r="E22" s="14" t="s">
        <v>281</v>
      </c>
      <c r="F22" s="2" t="s">
        <v>64</v>
      </c>
      <c r="G22" s="2">
        <v>1</v>
      </c>
      <c r="H22" t="s">
        <v>428</v>
      </c>
      <c r="I22" s="10">
        <v>4</v>
      </c>
      <c r="J22" s="23">
        <v>5</v>
      </c>
      <c r="K22" t="s">
        <v>709</v>
      </c>
      <c r="L22" s="14" t="s">
        <v>326</v>
      </c>
      <c r="M22" s="2" t="s">
        <v>462</v>
      </c>
      <c r="N22" s="14" t="s">
        <v>410</v>
      </c>
      <c r="O22" s="14" t="s">
        <v>755</v>
      </c>
      <c r="P22" s="2" t="s">
        <v>1497</v>
      </c>
      <c r="Q22" s="10">
        <v>4</v>
      </c>
      <c r="R22" s="10"/>
      <c r="S22" s="10"/>
      <c r="T22" s="9"/>
      <c r="U22" s="9"/>
      <c r="V22" s="9"/>
      <c r="W22" s="45">
        <v>240</v>
      </c>
      <c r="X22" s="45">
        <v>60</v>
      </c>
      <c r="Y22" s="23"/>
      <c r="Z22" s="6">
        <v>5</v>
      </c>
      <c r="AD22" s="45"/>
      <c r="AH22" s="23">
        <v>20</v>
      </c>
      <c r="AI22">
        <v>5</v>
      </c>
      <c r="AJ22">
        <v>0</v>
      </c>
      <c r="AK22">
        <v>0</v>
      </c>
      <c r="AL22" s="23">
        <v>5</v>
      </c>
      <c r="AM22" s="23"/>
      <c r="AZ22" s="23">
        <v>5</v>
      </c>
      <c r="BE22" s="23"/>
      <c r="BI22" s="23"/>
      <c r="BR22" s="34"/>
      <c r="BU22" s="21"/>
      <c r="BY22" s="20">
        <v>240</v>
      </c>
      <c r="BZ22" s="20">
        <v>60</v>
      </c>
      <c r="CL22">
        <v>1418</v>
      </c>
      <c r="CM22" s="2" t="s">
        <v>462</v>
      </c>
      <c r="CN22" t="s">
        <v>1022</v>
      </c>
    </row>
    <row r="23" spans="1:92" ht="12.75">
      <c r="A23" s="15">
        <v>1418</v>
      </c>
      <c r="B23" s="14" t="s">
        <v>1076</v>
      </c>
      <c r="C23" s="14" t="s">
        <v>558</v>
      </c>
      <c r="D23" s="14" t="s">
        <v>255</v>
      </c>
      <c r="E23" s="14" t="s">
        <v>281</v>
      </c>
      <c r="F23" s="2" t="s">
        <v>65</v>
      </c>
      <c r="G23" s="2">
        <v>1</v>
      </c>
      <c r="H23" t="s">
        <v>428</v>
      </c>
      <c r="I23" s="10">
        <v>7</v>
      </c>
      <c r="J23" s="23">
        <v>4.9</v>
      </c>
      <c r="K23" t="s">
        <v>709</v>
      </c>
      <c r="L23" s="14" t="s">
        <v>326</v>
      </c>
      <c r="M23" s="2" t="s">
        <v>461</v>
      </c>
      <c r="N23" s="14" t="s">
        <v>410</v>
      </c>
      <c r="O23" s="14" t="s">
        <v>755</v>
      </c>
      <c r="P23" s="2" t="s">
        <v>1497</v>
      </c>
      <c r="Q23" s="10">
        <v>7</v>
      </c>
      <c r="R23" s="10"/>
      <c r="S23" s="10"/>
      <c r="T23" s="9"/>
      <c r="U23" s="9"/>
      <c r="V23" s="9"/>
      <c r="W23" s="45">
        <v>411.6</v>
      </c>
      <c r="X23" s="45">
        <v>58.8</v>
      </c>
      <c r="Y23" s="23"/>
      <c r="Z23" s="6">
        <v>4.9</v>
      </c>
      <c r="AD23" s="45"/>
      <c r="AH23" s="23">
        <v>34.300000000000004</v>
      </c>
      <c r="AI23">
        <v>4</v>
      </c>
      <c r="AJ23">
        <v>18</v>
      </c>
      <c r="AK23">
        <v>0</v>
      </c>
      <c r="AL23" s="23">
        <v>4.9</v>
      </c>
      <c r="AM23" s="23"/>
      <c r="AZ23" s="23">
        <v>4.9</v>
      </c>
      <c r="BE23" s="23"/>
      <c r="BF23" s="23"/>
      <c r="BI23" s="23"/>
      <c r="BR23" s="34"/>
      <c r="BU23" s="21"/>
      <c r="BY23" s="20">
        <v>411.6</v>
      </c>
      <c r="BZ23" s="20">
        <v>58.8</v>
      </c>
      <c r="CL23">
        <v>1418</v>
      </c>
      <c r="CM23" s="2" t="s">
        <v>461</v>
      </c>
      <c r="CN23" t="s">
        <v>1022</v>
      </c>
    </row>
    <row r="24" spans="1:92" ht="12.75">
      <c r="A24" s="15">
        <v>1418</v>
      </c>
      <c r="B24" s="14" t="s">
        <v>1076</v>
      </c>
      <c r="C24" s="14" t="s">
        <v>558</v>
      </c>
      <c r="D24" s="14" t="s">
        <v>255</v>
      </c>
      <c r="E24" s="14" t="s">
        <v>281</v>
      </c>
      <c r="F24" s="2" t="s">
        <v>66</v>
      </c>
      <c r="G24" s="2">
        <v>1</v>
      </c>
      <c r="H24" t="s">
        <v>428</v>
      </c>
      <c r="I24" s="10">
        <v>1</v>
      </c>
      <c r="J24" s="23">
        <v>3.6</v>
      </c>
      <c r="K24" t="s">
        <v>719</v>
      </c>
      <c r="L24" s="14" t="s">
        <v>326</v>
      </c>
      <c r="M24" s="2" t="s">
        <v>466</v>
      </c>
      <c r="N24" s="14" t="s">
        <v>410</v>
      </c>
      <c r="O24" s="14" t="s">
        <v>1177</v>
      </c>
      <c r="P24" s="2" t="s">
        <v>1499</v>
      </c>
      <c r="Q24" s="10">
        <v>1</v>
      </c>
      <c r="R24" s="10"/>
      <c r="S24" s="10"/>
      <c r="T24" s="9"/>
      <c r="U24" s="9"/>
      <c r="V24" s="9"/>
      <c r="W24" s="45">
        <v>43.2</v>
      </c>
      <c r="X24" s="45">
        <v>43.2</v>
      </c>
      <c r="Y24" s="23"/>
      <c r="Z24" s="6">
        <v>3.6</v>
      </c>
      <c r="AD24" s="45"/>
      <c r="AH24" s="23">
        <v>3.6</v>
      </c>
      <c r="AI24">
        <v>3</v>
      </c>
      <c r="AJ24">
        <v>12</v>
      </c>
      <c r="AK24">
        <v>0</v>
      </c>
      <c r="AL24" s="23">
        <v>3.6</v>
      </c>
      <c r="AM24" s="23"/>
      <c r="BI24" s="23"/>
      <c r="BR24" s="34"/>
      <c r="BU24" s="21"/>
      <c r="BY24" s="20">
        <v>43.2</v>
      </c>
      <c r="BZ24" s="20">
        <v>43.2</v>
      </c>
      <c r="CL24">
        <v>1418</v>
      </c>
      <c r="CM24" s="2" t="s">
        <v>466</v>
      </c>
      <c r="CN24" t="s">
        <v>1022</v>
      </c>
    </row>
    <row r="25" spans="1:92" ht="12.75">
      <c r="A25" s="15">
        <v>1418</v>
      </c>
      <c r="B25" s="14" t="s">
        <v>1076</v>
      </c>
      <c r="C25" s="14" t="s">
        <v>558</v>
      </c>
      <c r="D25" s="14" t="s">
        <v>255</v>
      </c>
      <c r="E25" s="14" t="s">
        <v>281</v>
      </c>
      <c r="F25" s="2" t="s">
        <v>67</v>
      </c>
      <c r="G25" s="2">
        <v>1</v>
      </c>
      <c r="H25" t="s">
        <v>428</v>
      </c>
      <c r="I25" s="10">
        <v>10</v>
      </c>
      <c r="J25" s="23">
        <v>3.5</v>
      </c>
      <c r="K25" t="s">
        <v>719</v>
      </c>
      <c r="L25" s="14" t="s">
        <v>326</v>
      </c>
      <c r="M25" s="2" t="s">
        <v>466</v>
      </c>
      <c r="N25" s="14" t="s">
        <v>410</v>
      </c>
      <c r="O25" s="14" t="s">
        <v>1177</v>
      </c>
      <c r="P25" s="2" t="s">
        <v>1499</v>
      </c>
      <c r="Q25" s="10">
        <v>10</v>
      </c>
      <c r="R25" s="10"/>
      <c r="S25" s="10"/>
      <c r="T25" s="9"/>
      <c r="U25" s="9"/>
      <c r="V25" s="9"/>
      <c r="W25" s="45">
        <v>420</v>
      </c>
      <c r="X25" s="45">
        <v>42</v>
      </c>
      <c r="Y25" s="23"/>
      <c r="Z25" s="6">
        <v>3.5</v>
      </c>
      <c r="AD25" s="45"/>
      <c r="AH25" s="23">
        <v>35</v>
      </c>
      <c r="AI25">
        <v>3</v>
      </c>
      <c r="AJ25">
        <v>10</v>
      </c>
      <c r="AK25">
        <v>0</v>
      </c>
      <c r="AL25" s="23">
        <v>3.5</v>
      </c>
      <c r="AM25" s="23"/>
      <c r="BF25" s="23"/>
      <c r="BI25" s="7"/>
      <c r="BR25" s="34"/>
      <c r="BU25" s="21"/>
      <c r="BY25" s="20">
        <v>420</v>
      </c>
      <c r="BZ25" s="20">
        <v>42</v>
      </c>
      <c r="CL25">
        <v>1418</v>
      </c>
      <c r="CM25" s="2" t="s">
        <v>466</v>
      </c>
      <c r="CN25" t="s">
        <v>1022</v>
      </c>
    </row>
    <row r="26" spans="1:91" ht="12.75">
      <c r="A26" s="15">
        <v>1418</v>
      </c>
      <c r="B26" s="14" t="s">
        <v>1076</v>
      </c>
      <c r="C26" s="14" t="s">
        <v>558</v>
      </c>
      <c r="D26" s="14" t="s">
        <v>255</v>
      </c>
      <c r="E26" s="14" t="s">
        <v>281</v>
      </c>
      <c r="F26" s="2" t="s">
        <v>68</v>
      </c>
      <c r="G26" s="2">
        <v>1</v>
      </c>
      <c r="H26" t="s">
        <v>428</v>
      </c>
      <c r="I26" s="10">
        <v>1</v>
      </c>
      <c r="J26" s="23">
        <v>4</v>
      </c>
      <c r="K26" t="s">
        <v>376</v>
      </c>
      <c r="L26" s="14" t="s">
        <v>326</v>
      </c>
      <c r="M26" s="2" t="s">
        <v>432</v>
      </c>
      <c r="N26" s="14" t="s">
        <v>410</v>
      </c>
      <c r="O26" s="14" t="s">
        <v>327</v>
      </c>
      <c r="P26" s="2" t="s">
        <v>570</v>
      </c>
      <c r="Q26" s="10">
        <v>1</v>
      </c>
      <c r="R26" s="10"/>
      <c r="S26" s="10"/>
      <c r="T26" s="9"/>
      <c r="U26" s="9"/>
      <c r="V26" s="9"/>
      <c r="W26" s="45">
        <v>48</v>
      </c>
      <c r="X26" s="45">
        <v>48</v>
      </c>
      <c r="Y26" s="23"/>
      <c r="Z26" s="6">
        <v>4</v>
      </c>
      <c r="AE26">
        <v>4</v>
      </c>
      <c r="AF26">
        <v>0</v>
      </c>
      <c r="AG26">
        <v>0</v>
      </c>
      <c r="AH26" s="23">
        <v>4</v>
      </c>
      <c r="AI26">
        <v>4</v>
      </c>
      <c r="AJ26">
        <v>0</v>
      </c>
      <c r="AK26">
        <v>0</v>
      </c>
      <c r="AL26" s="23">
        <v>4</v>
      </c>
      <c r="AZ26" s="23">
        <v>4</v>
      </c>
      <c r="BF26" s="23"/>
      <c r="BR26" s="34"/>
      <c r="BU26" s="21"/>
      <c r="BY26" s="20">
        <v>48</v>
      </c>
      <c r="BZ26" s="20">
        <v>48</v>
      </c>
      <c r="CL26">
        <v>1418</v>
      </c>
      <c r="CM26" s="2" t="s">
        <v>432</v>
      </c>
    </row>
    <row r="27" spans="1:91" ht="12.75">
      <c r="A27" s="15">
        <v>1418</v>
      </c>
      <c r="B27" s="14" t="s">
        <v>1076</v>
      </c>
      <c r="C27" s="14" t="s">
        <v>558</v>
      </c>
      <c r="D27" s="14" t="s">
        <v>255</v>
      </c>
      <c r="E27" s="14" t="s">
        <v>281</v>
      </c>
      <c r="F27" s="2" t="s">
        <v>69</v>
      </c>
      <c r="G27" s="2">
        <v>1</v>
      </c>
      <c r="H27" t="s">
        <v>428</v>
      </c>
      <c r="I27" s="10">
        <v>2</v>
      </c>
      <c r="J27" s="23">
        <v>3.8</v>
      </c>
      <c r="K27" t="s">
        <v>7</v>
      </c>
      <c r="L27" s="14" t="s">
        <v>326</v>
      </c>
      <c r="M27" s="2" t="s">
        <v>431</v>
      </c>
      <c r="N27" s="14" t="s">
        <v>410</v>
      </c>
      <c r="O27" s="14" t="s">
        <v>362</v>
      </c>
      <c r="P27" s="2" t="s">
        <v>1311</v>
      </c>
      <c r="Q27" s="10">
        <v>2</v>
      </c>
      <c r="R27" s="10"/>
      <c r="S27" s="10"/>
      <c r="T27" s="9"/>
      <c r="U27" s="9"/>
      <c r="V27" s="9"/>
      <c r="W27" s="45">
        <v>91.19999999999999</v>
      </c>
      <c r="X27" s="45">
        <v>45.599999999999994</v>
      </c>
      <c r="Y27" s="23"/>
      <c r="Z27" s="6">
        <v>3.8</v>
      </c>
      <c r="AH27" s="23">
        <v>7.6</v>
      </c>
      <c r="AI27">
        <v>3</v>
      </c>
      <c r="AJ27">
        <v>16</v>
      </c>
      <c r="AK27">
        <v>0</v>
      </c>
      <c r="AL27" s="23">
        <v>3.8</v>
      </c>
      <c r="BD27" s="23">
        <v>3.8</v>
      </c>
      <c r="BI27" s="23"/>
      <c r="BU27" s="21"/>
      <c r="BY27" s="20">
        <v>91.19999999999999</v>
      </c>
      <c r="BZ27" s="20">
        <v>45.599999999999994</v>
      </c>
      <c r="CL27">
        <v>1418</v>
      </c>
      <c r="CM27" s="2" t="s">
        <v>431</v>
      </c>
    </row>
    <row r="28" ht="12.75">
      <c r="A28" s="19"/>
    </row>
    <row r="29" spans="1:92" ht="12.75">
      <c r="A29" s="15">
        <v>1419</v>
      </c>
      <c r="B29" s="14" t="s">
        <v>952</v>
      </c>
      <c r="C29" s="14" t="s">
        <v>558</v>
      </c>
      <c r="D29" s="14" t="s">
        <v>255</v>
      </c>
      <c r="E29" s="14" t="s">
        <v>284</v>
      </c>
      <c r="F29" s="2" t="s">
        <v>73</v>
      </c>
      <c r="G29" s="2">
        <v>1</v>
      </c>
      <c r="H29" s="2" t="s">
        <v>502</v>
      </c>
      <c r="I29" s="10">
        <v>15</v>
      </c>
      <c r="J29" s="23">
        <v>6.75</v>
      </c>
      <c r="K29" s="2" t="s">
        <v>503</v>
      </c>
      <c r="L29" s="14" t="s">
        <v>326</v>
      </c>
      <c r="M29" s="2" t="s">
        <v>506</v>
      </c>
      <c r="N29" s="14" t="s">
        <v>1281</v>
      </c>
      <c r="O29" s="14" t="s">
        <v>332</v>
      </c>
      <c r="P29" s="2" t="s">
        <v>534</v>
      </c>
      <c r="Q29" s="10">
        <v>15</v>
      </c>
      <c r="R29" s="10"/>
      <c r="S29" s="10"/>
      <c r="T29" s="9"/>
      <c r="U29" s="9"/>
      <c r="V29" s="9"/>
      <c r="W29" s="45">
        <v>1215</v>
      </c>
      <c r="X29" s="45">
        <v>81</v>
      </c>
      <c r="Y29" s="23"/>
      <c r="Z29" s="6">
        <v>6.75</v>
      </c>
      <c r="AD29" s="45"/>
      <c r="AE29">
        <v>6</v>
      </c>
      <c r="AF29">
        <v>15</v>
      </c>
      <c r="AG29">
        <v>0</v>
      </c>
      <c r="AH29" s="23">
        <v>6.75</v>
      </c>
      <c r="AI29">
        <v>6</v>
      </c>
      <c r="AJ29">
        <v>15</v>
      </c>
      <c r="AK29">
        <v>0</v>
      </c>
      <c r="AL29" s="23">
        <v>6.75</v>
      </c>
      <c r="AM29" s="23"/>
      <c r="AW29" s="23">
        <v>6.75</v>
      </c>
      <c r="BA29" s="23"/>
      <c r="BQ29">
        <v>3.725</v>
      </c>
      <c r="BR29">
        <v>10.475</v>
      </c>
      <c r="BU29" s="21">
        <v>0.3556085918854415</v>
      </c>
      <c r="BY29" s="20">
        <v>1885.5</v>
      </c>
      <c r="BZ29" s="20">
        <v>125.7</v>
      </c>
      <c r="CL29">
        <v>1419</v>
      </c>
      <c r="CM29" s="2" t="s">
        <v>506</v>
      </c>
      <c r="CN29" t="s">
        <v>17</v>
      </c>
    </row>
    <row r="30" spans="1:92" ht="12.75">
      <c r="A30" s="15">
        <v>1419</v>
      </c>
      <c r="B30" s="14" t="s">
        <v>952</v>
      </c>
      <c r="C30" s="14" t="s">
        <v>558</v>
      </c>
      <c r="D30" s="14" t="s">
        <v>255</v>
      </c>
      <c r="E30" s="14" t="s">
        <v>284</v>
      </c>
      <c r="F30" s="2" t="s">
        <v>74</v>
      </c>
      <c r="G30" s="2">
        <v>1</v>
      </c>
      <c r="H30" s="2" t="s">
        <v>428</v>
      </c>
      <c r="I30" s="10">
        <v>11</v>
      </c>
      <c r="J30" s="23">
        <v>6.75</v>
      </c>
      <c r="K30" s="2" t="s">
        <v>726</v>
      </c>
      <c r="L30" s="14" t="s">
        <v>326</v>
      </c>
      <c r="M30" s="2" t="s">
        <v>467</v>
      </c>
      <c r="N30" s="14" t="s">
        <v>410</v>
      </c>
      <c r="O30" s="14" t="s">
        <v>1465</v>
      </c>
      <c r="P30" s="2" t="s">
        <v>534</v>
      </c>
      <c r="Q30" s="10">
        <v>11</v>
      </c>
      <c r="R30" s="10"/>
      <c r="S30" s="10"/>
      <c r="T30" s="9"/>
      <c r="U30" s="9"/>
      <c r="V30" s="9"/>
      <c r="W30" s="45">
        <v>891</v>
      </c>
      <c r="X30" s="45">
        <v>81</v>
      </c>
      <c r="Y30" s="23">
        <v>49.09090909090909</v>
      </c>
      <c r="Z30" s="6">
        <v>6.75</v>
      </c>
      <c r="AD30" s="45"/>
      <c r="AE30">
        <v>6</v>
      </c>
      <c r="AF30">
        <v>15</v>
      </c>
      <c r="AG30">
        <v>0</v>
      </c>
      <c r="AH30" s="23">
        <v>6.75</v>
      </c>
      <c r="AI30">
        <v>6</v>
      </c>
      <c r="AJ30">
        <v>15</v>
      </c>
      <c r="AK30">
        <v>0</v>
      </c>
      <c r="AL30" s="23">
        <v>6.75</v>
      </c>
      <c r="AM30" s="23">
        <v>4.090909090909091</v>
      </c>
      <c r="AZ30" s="23"/>
      <c r="BA30" s="19"/>
      <c r="BB30" s="23"/>
      <c r="BR30" s="34"/>
      <c r="BU30" s="21"/>
      <c r="BY30" s="20">
        <v>891</v>
      </c>
      <c r="BZ30" s="20">
        <v>81</v>
      </c>
      <c r="CL30">
        <v>1419</v>
      </c>
      <c r="CM30" s="2" t="s">
        <v>467</v>
      </c>
      <c r="CN30" t="s">
        <v>1003</v>
      </c>
    </row>
    <row r="31" spans="1:92" ht="12.75">
      <c r="A31" s="15">
        <v>1419</v>
      </c>
      <c r="B31" s="14" t="s">
        <v>952</v>
      </c>
      <c r="C31" s="14" t="s">
        <v>558</v>
      </c>
      <c r="D31" s="14" t="s">
        <v>255</v>
      </c>
      <c r="E31" s="14" t="s">
        <v>284</v>
      </c>
      <c r="F31" s="2" t="s">
        <v>75</v>
      </c>
      <c r="G31" s="2">
        <v>1</v>
      </c>
      <c r="H31" s="2" t="s">
        <v>502</v>
      </c>
      <c r="I31" s="10">
        <v>11</v>
      </c>
      <c r="J31" s="23">
        <v>4.7</v>
      </c>
      <c r="K31" s="2" t="s">
        <v>505</v>
      </c>
      <c r="L31" s="14" t="s">
        <v>326</v>
      </c>
      <c r="M31" s="2" t="s">
        <v>504</v>
      </c>
      <c r="N31" s="14" t="s">
        <v>1422</v>
      </c>
      <c r="O31" s="14" t="s">
        <v>1460</v>
      </c>
      <c r="P31" s="2" t="s">
        <v>1499</v>
      </c>
      <c r="Q31" s="10">
        <v>11</v>
      </c>
      <c r="R31" s="10"/>
      <c r="S31" s="10"/>
      <c r="T31" s="9"/>
      <c r="U31" s="9"/>
      <c r="V31" s="9"/>
      <c r="W31" s="45">
        <v>620.4000000000001</v>
      </c>
      <c r="X31" s="45">
        <v>56.400000000000006</v>
      </c>
      <c r="Y31" s="23">
        <v>31.333333333333336</v>
      </c>
      <c r="Z31" s="6">
        <v>4.7</v>
      </c>
      <c r="AD31" s="45"/>
      <c r="AE31">
        <v>4</v>
      </c>
      <c r="AF31">
        <v>14</v>
      </c>
      <c r="AG31">
        <v>0</v>
      </c>
      <c r="AH31" s="23">
        <v>4.7</v>
      </c>
      <c r="AI31">
        <v>4</v>
      </c>
      <c r="AJ31">
        <v>14</v>
      </c>
      <c r="AK31">
        <v>0</v>
      </c>
      <c r="AL31" s="23">
        <v>4.7</v>
      </c>
      <c r="AM31" s="23">
        <v>2.611111111111111</v>
      </c>
      <c r="AZ31" s="7"/>
      <c r="BA31" s="19"/>
      <c r="BB31" s="19"/>
      <c r="BD31" s="23"/>
      <c r="BU31" s="21"/>
      <c r="BY31" s="20">
        <v>620.4000000000001</v>
      </c>
      <c r="BZ31" s="20">
        <v>56.400000000000006</v>
      </c>
      <c r="CL31">
        <v>1419</v>
      </c>
      <c r="CM31" s="2" t="s">
        <v>504</v>
      </c>
      <c r="CN31" t="s">
        <v>1034</v>
      </c>
    </row>
    <row r="33" spans="1:91" ht="12.75">
      <c r="A33" s="15">
        <v>1419</v>
      </c>
      <c r="B33" s="14" t="s">
        <v>952</v>
      </c>
      <c r="C33" s="14" t="s">
        <v>558</v>
      </c>
      <c r="D33" s="14" t="s">
        <v>255</v>
      </c>
      <c r="E33" s="14" t="s">
        <v>284</v>
      </c>
      <c r="F33" s="2" t="s">
        <v>78</v>
      </c>
      <c r="G33" s="2">
        <v>2</v>
      </c>
      <c r="H33" s="2" t="s">
        <v>428</v>
      </c>
      <c r="I33" s="10">
        <v>1</v>
      </c>
      <c r="J33" s="23">
        <v>5</v>
      </c>
      <c r="K33" s="2" t="s">
        <v>518</v>
      </c>
      <c r="L33" s="14" t="s">
        <v>326</v>
      </c>
      <c r="M33" s="2" t="s">
        <v>439</v>
      </c>
      <c r="N33" s="14" t="s">
        <v>408</v>
      </c>
      <c r="O33" s="14" t="s">
        <v>353</v>
      </c>
      <c r="P33" s="2" t="s">
        <v>567</v>
      </c>
      <c r="Q33" s="10">
        <v>1</v>
      </c>
      <c r="R33" s="10"/>
      <c r="S33" s="10"/>
      <c r="T33" s="9"/>
      <c r="U33" s="9"/>
      <c r="V33" s="9"/>
      <c r="W33" s="45">
        <v>60</v>
      </c>
      <c r="X33" s="45">
        <v>60</v>
      </c>
      <c r="Y33" s="23"/>
      <c r="Z33" s="6">
        <v>5</v>
      </c>
      <c r="AE33">
        <v>5</v>
      </c>
      <c r="AF33">
        <v>0</v>
      </c>
      <c r="AG33">
        <v>0</v>
      </c>
      <c r="AH33" s="23">
        <v>5</v>
      </c>
      <c r="AI33">
        <v>5</v>
      </c>
      <c r="AJ33">
        <v>0</v>
      </c>
      <c r="AK33">
        <v>0</v>
      </c>
      <c r="AL33" s="23">
        <v>5</v>
      </c>
      <c r="AM33" s="23"/>
      <c r="AZ33" s="23">
        <v>5</v>
      </c>
      <c r="BD33" s="7"/>
      <c r="BF33" s="23"/>
      <c r="BG33" s="23"/>
      <c r="BR33" s="34"/>
      <c r="BU33" s="21"/>
      <c r="BY33" s="20">
        <v>60</v>
      </c>
      <c r="BZ33" s="20">
        <v>60</v>
      </c>
      <c r="CL33">
        <v>1419</v>
      </c>
      <c r="CM33" s="2" t="s">
        <v>439</v>
      </c>
    </row>
    <row r="34" spans="1:91" ht="12.75">
      <c r="A34" s="15">
        <v>1419</v>
      </c>
      <c r="B34" s="14" t="s">
        <v>952</v>
      </c>
      <c r="C34" s="14" t="s">
        <v>558</v>
      </c>
      <c r="D34" s="14" t="s">
        <v>255</v>
      </c>
      <c r="E34" s="14" t="s">
        <v>284</v>
      </c>
      <c r="F34" s="2" t="s">
        <v>79</v>
      </c>
      <c r="G34" s="2">
        <v>2</v>
      </c>
      <c r="H34" s="2" t="s">
        <v>428</v>
      </c>
      <c r="I34" s="10">
        <v>1</v>
      </c>
      <c r="J34" s="23">
        <v>3.5</v>
      </c>
      <c r="K34" s="2" t="s">
        <v>1560</v>
      </c>
      <c r="L34" s="14" t="s">
        <v>326</v>
      </c>
      <c r="M34" s="2" t="s">
        <v>445</v>
      </c>
      <c r="N34" s="14" t="s">
        <v>410</v>
      </c>
      <c r="O34" s="14" t="s">
        <v>345</v>
      </c>
      <c r="P34" s="2" t="s">
        <v>1312</v>
      </c>
      <c r="Q34" s="10">
        <v>1</v>
      </c>
      <c r="R34" s="10"/>
      <c r="S34" s="10"/>
      <c r="T34" s="9"/>
      <c r="U34" s="9"/>
      <c r="V34" s="9"/>
      <c r="W34" s="45">
        <v>42</v>
      </c>
      <c r="X34" s="45">
        <v>42</v>
      </c>
      <c r="Y34" s="23"/>
      <c r="Z34" s="6">
        <v>3.5</v>
      </c>
      <c r="AE34">
        <v>3</v>
      </c>
      <c r="AF34">
        <v>10</v>
      </c>
      <c r="AG34">
        <v>0</v>
      </c>
      <c r="AH34" s="23">
        <v>3.5</v>
      </c>
      <c r="AI34">
        <v>3</v>
      </c>
      <c r="AJ34">
        <v>10</v>
      </c>
      <c r="AK34">
        <v>0</v>
      </c>
      <c r="AL34" s="23">
        <v>3.5</v>
      </c>
      <c r="AZ34" s="23">
        <v>3.5</v>
      </c>
      <c r="BD34" s="23">
        <v>3.5</v>
      </c>
      <c r="BF34" s="7"/>
      <c r="BI34" s="23"/>
      <c r="BR34" s="34"/>
      <c r="BU34" s="21"/>
      <c r="BY34" s="20">
        <v>42</v>
      </c>
      <c r="BZ34" s="20">
        <v>42</v>
      </c>
      <c r="CL34">
        <v>1419</v>
      </c>
      <c r="CM34" s="2" t="s">
        <v>445</v>
      </c>
    </row>
    <row r="35" spans="1:91" ht="12.75">
      <c r="A35" s="15">
        <v>1419</v>
      </c>
      <c r="B35" s="14" t="s">
        <v>952</v>
      </c>
      <c r="C35" s="14" t="s">
        <v>558</v>
      </c>
      <c r="D35" s="14" t="s">
        <v>255</v>
      </c>
      <c r="E35" s="14" t="s">
        <v>284</v>
      </c>
      <c r="F35" s="2" t="s">
        <v>80</v>
      </c>
      <c r="G35" s="2">
        <v>2</v>
      </c>
      <c r="H35" s="2" t="s">
        <v>428</v>
      </c>
      <c r="I35" s="10">
        <v>1</v>
      </c>
      <c r="J35" s="23">
        <v>3.5</v>
      </c>
      <c r="K35" s="2" t="s">
        <v>1556</v>
      </c>
      <c r="L35" s="14" t="s">
        <v>326</v>
      </c>
      <c r="M35" s="2" t="s">
        <v>445</v>
      </c>
      <c r="N35" s="14" t="s">
        <v>410</v>
      </c>
      <c r="O35" s="14" t="s">
        <v>345</v>
      </c>
      <c r="P35" s="2" t="s">
        <v>1312</v>
      </c>
      <c r="Q35" s="10">
        <v>1</v>
      </c>
      <c r="R35" s="10"/>
      <c r="S35" s="10"/>
      <c r="T35" s="9"/>
      <c r="U35" s="9"/>
      <c r="V35" s="9"/>
      <c r="W35" s="45">
        <v>42</v>
      </c>
      <c r="X35" s="45">
        <v>42</v>
      </c>
      <c r="Y35" s="23"/>
      <c r="Z35" s="6">
        <v>3.5</v>
      </c>
      <c r="AE35">
        <v>3</v>
      </c>
      <c r="AF35">
        <v>10</v>
      </c>
      <c r="AG35">
        <v>0</v>
      </c>
      <c r="AH35" s="23">
        <v>3.5</v>
      </c>
      <c r="AI35">
        <v>3</v>
      </c>
      <c r="AJ35">
        <v>10</v>
      </c>
      <c r="AK35">
        <v>0</v>
      </c>
      <c r="AL35" s="23">
        <v>3.5</v>
      </c>
      <c r="AZ35" s="23">
        <v>3.5</v>
      </c>
      <c r="BD35" s="23">
        <v>3.5</v>
      </c>
      <c r="BF35" s="7"/>
      <c r="BI35" s="23"/>
      <c r="BR35" s="34"/>
      <c r="BU35" s="21"/>
      <c r="BY35" s="20">
        <v>42</v>
      </c>
      <c r="BZ35" s="20">
        <v>42</v>
      </c>
      <c r="CL35">
        <v>1419</v>
      </c>
      <c r="CM35" s="2" t="s">
        <v>445</v>
      </c>
    </row>
    <row r="36" spans="1:92" ht="12.75">
      <c r="A36" s="15">
        <v>1419</v>
      </c>
      <c r="B36" s="14" t="s">
        <v>952</v>
      </c>
      <c r="C36" s="14" t="s">
        <v>558</v>
      </c>
      <c r="D36" s="14" t="s">
        <v>255</v>
      </c>
      <c r="E36" s="14" t="s">
        <v>284</v>
      </c>
      <c r="F36" s="2" t="s">
        <v>87</v>
      </c>
      <c r="G36" s="2">
        <v>2</v>
      </c>
      <c r="H36" s="2" t="s">
        <v>428</v>
      </c>
      <c r="I36" s="10">
        <v>50</v>
      </c>
      <c r="J36" s="23">
        <v>3.9</v>
      </c>
      <c r="K36" s="2" t="s">
        <v>1519</v>
      </c>
      <c r="L36" s="14" t="s">
        <v>326</v>
      </c>
      <c r="M36" s="2" t="s">
        <v>497</v>
      </c>
      <c r="N36" s="14" t="s">
        <v>410</v>
      </c>
      <c r="O36" s="14" t="s">
        <v>1461</v>
      </c>
      <c r="P36" s="2" t="s">
        <v>1301</v>
      </c>
      <c r="Q36" s="10">
        <v>50</v>
      </c>
      <c r="R36" s="10"/>
      <c r="S36" s="10"/>
      <c r="T36" s="9"/>
      <c r="U36" s="9"/>
      <c r="V36" s="9"/>
      <c r="W36" s="45">
        <v>2340</v>
      </c>
      <c r="X36" s="45">
        <v>46.8</v>
      </c>
      <c r="Y36" s="23"/>
      <c r="Z36" s="6">
        <v>3.9</v>
      </c>
      <c r="AD36" s="45"/>
      <c r="AH36" s="23">
        <v>195</v>
      </c>
      <c r="AI36">
        <v>3</v>
      </c>
      <c r="AJ36">
        <v>18</v>
      </c>
      <c r="AK36">
        <v>0</v>
      </c>
      <c r="AL36" s="23">
        <v>3.9</v>
      </c>
      <c r="AM36" s="23"/>
      <c r="AW36" s="23"/>
      <c r="BA36" s="23"/>
      <c r="BE36" s="23">
        <v>3.9</v>
      </c>
      <c r="BI36" s="23"/>
      <c r="BR36" s="34"/>
      <c r="BU36" s="21"/>
      <c r="BY36" s="20">
        <v>2340</v>
      </c>
      <c r="BZ36" s="20">
        <v>46.8</v>
      </c>
      <c r="CL36">
        <v>1419</v>
      </c>
      <c r="CM36" s="2" t="s">
        <v>497</v>
      </c>
      <c r="CN36" t="s">
        <v>1051</v>
      </c>
    </row>
    <row r="38" spans="1:92" ht="12.75">
      <c r="A38" s="15" t="s">
        <v>12</v>
      </c>
      <c r="B38" s="14" t="s">
        <v>3</v>
      </c>
      <c r="C38" s="14" t="s">
        <v>1267</v>
      </c>
      <c r="D38" s="14" t="s">
        <v>12</v>
      </c>
      <c r="E38" s="14" t="s">
        <v>270</v>
      </c>
      <c r="F38" s="2" t="s">
        <v>89</v>
      </c>
      <c r="G38" s="2"/>
      <c r="H38" s="2" t="s">
        <v>428</v>
      </c>
      <c r="I38" s="10">
        <v>2</v>
      </c>
      <c r="J38" s="23">
        <v>3.4</v>
      </c>
      <c r="K38" s="2" t="s">
        <v>1217</v>
      </c>
      <c r="L38" s="14" t="s">
        <v>326</v>
      </c>
      <c r="M38" s="2" t="s">
        <v>491</v>
      </c>
      <c r="N38" s="14" t="s">
        <v>410</v>
      </c>
      <c r="O38" s="14" t="s">
        <v>1177</v>
      </c>
      <c r="P38" s="2" t="s">
        <v>1293</v>
      </c>
      <c r="Q38" s="10">
        <v>2</v>
      </c>
      <c r="R38" s="10">
        <v>14</v>
      </c>
      <c r="S38" s="10"/>
      <c r="T38" s="9"/>
      <c r="U38" s="9"/>
      <c r="V38" s="9"/>
      <c r="W38" s="45">
        <v>99.1</v>
      </c>
      <c r="X38" s="45">
        <v>40.8</v>
      </c>
      <c r="Y38" s="23">
        <v>25</v>
      </c>
      <c r="Z38" s="6">
        <v>3.4</v>
      </c>
      <c r="AE38">
        <v>4</v>
      </c>
      <c r="AF38">
        <v>17</v>
      </c>
      <c r="AG38">
        <v>2</v>
      </c>
      <c r="AH38" s="23">
        <v>4.858333333333333</v>
      </c>
      <c r="AI38">
        <v>3</v>
      </c>
      <c r="AJ38">
        <v>8</v>
      </c>
      <c r="AK38">
        <v>0</v>
      </c>
      <c r="AL38" s="23">
        <v>3.4</v>
      </c>
      <c r="AM38" s="23">
        <v>2.0833333333333335</v>
      </c>
      <c r="BD38" s="23"/>
      <c r="BF38" s="23">
        <v>3.4</v>
      </c>
      <c r="BG38" s="19"/>
      <c r="BH38" s="19"/>
      <c r="BR38" s="34"/>
      <c r="BU38" s="21"/>
      <c r="BY38" s="20">
        <v>99.1</v>
      </c>
      <c r="BZ38" s="20">
        <v>40.8</v>
      </c>
      <c r="CL38" s="17" t="s">
        <v>12</v>
      </c>
      <c r="CM38" s="2" t="s">
        <v>491</v>
      </c>
      <c r="CN38" t="s">
        <v>32</v>
      </c>
    </row>
    <row r="40" spans="1:92" ht="12.75">
      <c r="A40" s="15">
        <v>1419</v>
      </c>
      <c r="B40" s="14" t="s">
        <v>1077</v>
      </c>
      <c r="C40" s="14" t="s">
        <v>558</v>
      </c>
      <c r="D40" s="14" t="s">
        <v>256</v>
      </c>
      <c r="E40" s="14" t="s">
        <v>272</v>
      </c>
      <c r="F40" s="2" t="s">
        <v>90</v>
      </c>
      <c r="G40" s="2"/>
      <c r="H40" s="2" t="s">
        <v>428</v>
      </c>
      <c r="I40" s="10">
        <v>5</v>
      </c>
      <c r="J40" s="23">
        <v>5</v>
      </c>
      <c r="K40" s="2" t="s">
        <v>704</v>
      </c>
      <c r="L40" s="14" t="s">
        <v>326</v>
      </c>
      <c r="M40" s="2" t="s">
        <v>455</v>
      </c>
      <c r="N40" s="14" t="s">
        <v>408</v>
      </c>
      <c r="O40" s="14" t="s">
        <v>754</v>
      </c>
      <c r="P40" s="2" t="s">
        <v>1494</v>
      </c>
      <c r="Q40" s="10">
        <v>5</v>
      </c>
      <c r="R40" s="10"/>
      <c r="S40" s="10"/>
      <c r="T40" s="9"/>
      <c r="U40" s="9"/>
      <c r="V40" s="9"/>
      <c r="W40" s="45">
        <v>300</v>
      </c>
      <c r="X40" s="45">
        <v>60</v>
      </c>
      <c r="Y40" s="23"/>
      <c r="Z40" s="6">
        <v>5</v>
      </c>
      <c r="AH40" s="23">
        <v>25</v>
      </c>
      <c r="AI40">
        <v>5</v>
      </c>
      <c r="AJ40">
        <v>0</v>
      </c>
      <c r="AK40">
        <v>0</v>
      </c>
      <c r="AL40" s="23">
        <v>5</v>
      </c>
      <c r="AM40" s="23"/>
      <c r="BG40" s="23"/>
      <c r="BU40" s="21"/>
      <c r="BY40" s="20">
        <v>300</v>
      </c>
      <c r="BZ40" s="20">
        <v>60</v>
      </c>
      <c r="CL40">
        <v>1419</v>
      </c>
      <c r="CM40" s="2" t="s">
        <v>455</v>
      </c>
      <c r="CN40" t="s">
        <v>1020</v>
      </c>
    </row>
    <row r="41" spans="1:92" ht="12.75">
      <c r="A41" s="15">
        <v>1419</v>
      </c>
      <c r="B41" s="14" t="s">
        <v>1077</v>
      </c>
      <c r="C41" s="14" t="s">
        <v>558</v>
      </c>
      <c r="D41" s="14" t="s">
        <v>256</v>
      </c>
      <c r="E41" s="14" t="s">
        <v>272</v>
      </c>
      <c r="F41" s="2" t="s">
        <v>91</v>
      </c>
      <c r="G41" s="2"/>
      <c r="H41" s="2" t="s">
        <v>428</v>
      </c>
      <c r="I41" s="10">
        <v>4</v>
      </c>
      <c r="J41" s="23">
        <v>4.9</v>
      </c>
      <c r="K41" s="2" t="s">
        <v>704</v>
      </c>
      <c r="L41" s="14" t="s">
        <v>326</v>
      </c>
      <c r="M41" s="2" t="s">
        <v>455</v>
      </c>
      <c r="N41" s="14" t="s">
        <v>408</v>
      </c>
      <c r="O41" s="14" t="s">
        <v>754</v>
      </c>
      <c r="P41" s="2" t="s">
        <v>1494</v>
      </c>
      <c r="Q41" s="10">
        <v>4</v>
      </c>
      <c r="R41" s="10"/>
      <c r="S41" s="10"/>
      <c r="T41" s="9"/>
      <c r="U41" s="9"/>
      <c r="V41" s="9"/>
      <c r="W41" s="45">
        <v>235.2</v>
      </c>
      <c r="X41" s="45">
        <v>58.8</v>
      </c>
      <c r="Y41" s="23"/>
      <c r="Z41" s="6">
        <v>4.9</v>
      </c>
      <c r="AD41" s="45"/>
      <c r="AH41" s="23">
        <v>19.6</v>
      </c>
      <c r="AI41">
        <v>4</v>
      </c>
      <c r="AJ41">
        <v>18</v>
      </c>
      <c r="AK41">
        <v>0</v>
      </c>
      <c r="AL41" s="23">
        <v>4.9</v>
      </c>
      <c r="AM41" s="23"/>
      <c r="AZ41" s="23"/>
      <c r="BI41" s="23"/>
      <c r="BU41" s="21"/>
      <c r="BY41" s="20">
        <v>235.2</v>
      </c>
      <c r="BZ41" s="20">
        <v>58.8</v>
      </c>
      <c r="CL41">
        <v>1419</v>
      </c>
      <c r="CM41" s="2" t="s">
        <v>455</v>
      </c>
      <c r="CN41" t="s">
        <v>1020</v>
      </c>
    </row>
    <row r="42" spans="1:92" ht="12.75">
      <c r="A42" s="15">
        <v>1419</v>
      </c>
      <c r="B42" s="14" t="s">
        <v>1077</v>
      </c>
      <c r="C42" s="14" t="s">
        <v>558</v>
      </c>
      <c r="D42" s="14" t="s">
        <v>256</v>
      </c>
      <c r="E42" s="14" t="s">
        <v>272</v>
      </c>
      <c r="F42" s="2" t="s">
        <v>92</v>
      </c>
      <c r="G42" s="2"/>
      <c r="H42" s="2" t="s">
        <v>428</v>
      </c>
      <c r="I42" s="10">
        <v>2</v>
      </c>
      <c r="J42" s="23">
        <v>4.85</v>
      </c>
      <c r="K42" s="2" t="s">
        <v>704</v>
      </c>
      <c r="L42" s="14" t="s">
        <v>326</v>
      </c>
      <c r="M42" s="2" t="s">
        <v>455</v>
      </c>
      <c r="N42" s="14" t="s">
        <v>408</v>
      </c>
      <c r="O42" s="14" t="s">
        <v>754</v>
      </c>
      <c r="P42" s="2" t="s">
        <v>1494</v>
      </c>
      <c r="Q42" s="10">
        <v>2</v>
      </c>
      <c r="R42" s="10"/>
      <c r="S42" s="10"/>
      <c r="T42" s="9"/>
      <c r="U42" s="9"/>
      <c r="V42" s="9"/>
      <c r="W42" s="45">
        <v>116.4</v>
      </c>
      <c r="X42" s="45">
        <v>58.2</v>
      </c>
      <c r="Y42" s="23"/>
      <c r="Z42" s="6">
        <v>4.85</v>
      </c>
      <c r="AH42" s="23">
        <v>9.7</v>
      </c>
      <c r="AI42">
        <v>4</v>
      </c>
      <c r="AJ42">
        <v>17</v>
      </c>
      <c r="AK42">
        <v>0</v>
      </c>
      <c r="AL42" s="23">
        <v>4.85</v>
      </c>
      <c r="AM42" s="23"/>
      <c r="BD42" s="23"/>
      <c r="BF42" s="7"/>
      <c r="BG42" s="19"/>
      <c r="BH42" s="19"/>
      <c r="BR42" s="34"/>
      <c r="BU42" s="21"/>
      <c r="BY42" s="20">
        <v>116.4</v>
      </c>
      <c r="BZ42" s="20">
        <v>58.2</v>
      </c>
      <c r="CL42">
        <v>1419</v>
      </c>
      <c r="CM42" s="2" t="s">
        <v>455</v>
      </c>
      <c r="CN42" t="s">
        <v>1020</v>
      </c>
    </row>
    <row r="43" spans="1:91" ht="12.75">
      <c r="A43" s="15">
        <v>1419</v>
      </c>
      <c r="B43" s="14" t="s">
        <v>1077</v>
      </c>
      <c r="C43" s="14" t="s">
        <v>558</v>
      </c>
      <c r="D43" s="14" t="s">
        <v>256</v>
      </c>
      <c r="E43" s="14" t="s">
        <v>272</v>
      </c>
      <c r="F43" s="2" t="s">
        <v>93</v>
      </c>
      <c r="G43" s="2"/>
      <c r="H43" s="2" t="s">
        <v>428</v>
      </c>
      <c r="I43" s="10">
        <v>1</v>
      </c>
      <c r="J43" s="23">
        <v>4.8</v>
      </c>
      <c r="K43" s="2" t="s">
        <v>708</v>
      </c>
      <c r="L43" s="14" t="s">
        <v>326</v>
      </c>
      <c r="M43" s="2" t="s">
        <v>461</v>
      </c>
      <c r="N43" s="14" t="s">
        <v>410</v>
      </c>
      <c r="O43" s="14" t="s">
        <v>755</v>
      </c>
      <c r="P43" s="2" t="s">
        <v>1494</v>
      </c>
      <c r="Q43" s="10">
        <v>1</v>
      </c>
      <c r="R43" s="10"/>
      <c r="S43" s="10"/>
      <c r="T43" s="9"/>
      <c r="U43" s="9"/>
      <c r="V43" s="9"/>
      <c r="W43" s="45">
        <v>57.599999999999994</v>
      </c>
      <c r="X43" s="45">
        <v>57.599999999999994</v>
      </c>
      <c r="Y43" s="23"/>
      <c r="Z43" s="6">
        <v>4.8</v>
      </c>
      <c r="AD43" s="45"/>
      <c r="AE43">
        <v>4</v>
      </c>
      <c r="AF43">
        <v>16</v>
      </c>
      <c r="AG43">
        <v>0</v>
      </c>
      <c r="AH43" s="23">
        <v>4.8</v>
      </c>
      <c r="AI43">
        <v>4</v>
      </c>
      <c r="AJ43">
        <v>16</v>
      </c>
      <c r="AK43">
        <v>0</v>
      </c>
      <c r="AL43" s="23">
        <v>4.8</v>
      </c>
      <c r="AM43" s="23"/>
      <c r="BF43" s="7"/>
      <c r="BG43" s="23"/>
      <c r="BH43" s="19"/>
      <c r="BI43" s="23"/>
      <c r="BR43" s="34"/>
      <c r="BU43" s="21"/>
      <c r="BY43" s="20">
        <v>57.599999999999994</v>
      </c>
      <c r="BZ43" s="20">
        <v>57.599999999999994</v>
      </c>
      <c r="CL43">
        <v>1419</v>
      </c>
      <c r="CM43" s="2" t="s">
        <v>461</v>
      </c>
    </row>
    <row r="44" spans="1:91" ht="12.75">
      <c r="A44" s="15">
        <v>1419</v>
      </c>
      <c r="B44" s="14" t="s">
        <v>1077</v>
      </c>
      <c r="C44" s="14" t="s">
        <v>558</v>
      </c>
      <c r="D44" s="14" t="s">
        <v>256</v>
      </c>
      <c r="E44" s="14" t="s">
        <v>272</v>
      </c>
      <c r="F44" s="2" t="s">
        <v>94</v>
      </c>
      <c r="G44" s="2"/>
      <c r="H44" s="2" t="s">
        <v>428</v>
      </c>
      <c r="I44" s="10">
        <v>1</v>
      </c>
      <c r="J44" s="23">
        <v>4.75</v>
      </c>
      <c r="K44" s="2" t="s">
        <v>708</v>
      </c>
      <c r="L44" s="14" t="s">
        <v>326</v>
      </c>
      <c r="M44" s="2" t="s">
        <v>461</v>
      </c>
      <c r="N44" s="14" t="s">
        <v>410</v>
      </c>
      <c r="O44" s="14" t="s">
        <v>755</v>
      </c>
      <c r="P44" s="2" t="s">
        <v>1494</v>
      </c>
      <c r="Q44" s="10">
        <v>1</v>
      </c>
      <c r="R44" s="10"/>
      <c r="S44" s="10"/>
      <c r="T44" s="9"/>
      <c r="U44" s="9"/>
      <c r="V44" s="9"/>
      <c r="W44" s="45">
        <v>57</v>
      </c>
      <c r="X44" s="45">
        <v>57</v>
      </c>
      <c r="Y44" s="23"/>
      <c r="Z44" s="6">
        <v>4.75</v>
      </c>
      <c r="AD44" s="45"/>
      <c r="AE44">
        <v>4</v>
      </c>
      <c r="AF44">
        <v>15</v>
      </c>
      <c r="AG44">
        <v>0</v>
      </c>
      <c r="AH44" s="23">
        <v>4.75</v>
      </c>
      <c r="AI44">
        <v>4</v>
      </c>
      <c r="AJ44">
        <v>15</v>
      </c>
      <c r="AK44">
        <v>0</v>
      </c>
      <c r="AL44" s="23">
        <v>4.75</v>
      </c>
      <c r="AM44" s="23"/>
      <c r="BI44" s="23"/>
      <c r="BU44" s="21"/>
      <c r="BY44" s="20">
        <v>57</v>
      </c>
      <c r="BZ44" s="20">
        <v>57</v>
      </c>
      <c r="CL44">
        <v>1419</v>
      </c>
      <c r="CM44" s="2" t="s">
        <v>461</v>
      </c>
    </row>
    <row r="45" spans="1:91" ht="12.75">
      <c r="A45" s="15">
        <v>1419</v>
      </c>
      <c r="B45" s="14" t="s">
        <v>1077</v>
      </c>
      <c r="C45" s="14" t="s">
        <v>558</v>
      </c>
      <c r="D45" s="14" t="s">
        <v>256</v>
      </c>
      <c r="E45" s="14" t="s">
        <v>272</v>
      </c>
      <c r="F45" s="2" t="s">
        <v>95</v>
      </c>
      <c r="G45" s="2"/>
      <c r="H45" s="2" t="s">
        <v>428</v>
      </c>
      <c r="I45" s="10">
        <v>8</v>
      </c>
      <c r="J45" s="23">
        <v>4.6</v>
      </c>
      <c r="K45" s="2" t="s">
        <v>708</v>
      </c>
      <c r="L45" s="14" t="s">
        <v>326</v>
      </c>
      <c r="M45" s="2" t="s">
        <v>461</v>
      </c>
      <c r="N45" s="14" t="s">
        <v>410</v>
      </c>
      <c r="O45" s="14" t="s">
        <v>755</v>
      </c>
      <c r="P45" s="2" t="s">
        <v>1494</v>
      </c>
      <c r="Q45" s="10">
        <v>8</v>
      </c>
      <c r="R45" s="10"/>
      <c r="S45" s="10"/>
      <c r="T45" s="9"/>
      <c r="U45" s="9"/>
      <c r="V45" s="9"/>
      <c r="W45" s="45">
        <v>441.6</v>
      </c>
      <c r="X45" s="45">
        <v>55.2</v>
      </c>
      <c r="Y45" s="23"/>
      <c r="Z45" s="6">
        <v>4.6</v>
      </c>
      <c r="AD45" s="45"/>
      <c r="AH45" s="23">
        <v>36.8</v>
      </c>
      <c r="AI45">
        <v>4</v>
      </c>
      <c r="AJ45">
        <v>12</v>
      </c>
      <c r="AK45">
        <v>0</v>
      </c>
      <c r="AL45" s="23">
        <v>4.6</v>
      </c>
      <c r="AZ45" s="23"/>
      <c r="BI45" s="23"/>
      <c r="BU45" s="21"/>
      <c r="BY45" s="20">
        <v>441.6</v>
      </c>
      <c r="BZ45" s="20">
        <v>55.2</v>
      </c>
      <c r="CL45">
        <v>1419</v>
      </c>
      <c r="CM45" s="2" t="s">
        <v>461</v>
      </c>
    </row>
    <row r="46" spans="1:91" ht="12.75">
      <c r="A46" s="15">
        <v>1419</v>
      </c>
      <c r="B46" s="14" t="s">
        <v>1077</v>
      </c>
      <c r="C46" s="14" t="s">
        <v>558</v>
      </c>
      <c r="D46" s="14" t="s">
        <v>256</v>
      </c>
      <c r="E46" s="14" t="s">
        <v>272</v>
      </c>
      <c r="F46" s="2" t="s">
        <v>96</v>
      </c>
      <c r="G46" s="2"/>
      <c r="H46" s="2" t="s">
        <v>428</v>
      </c>
      <c r="I46" s="10">
        <v>1</v>
      </c>
      <c r="J46" s="23">
        <v>4.7</v>
      </c>
      <c r="K46" s="2" t="s">
        <v>708</v>
      </c>
      <c r="L46" s="14" t="s">
        <v>326</v>
      </c>
      <c r="M46" s="2" t="s">
        <v>461</v>
      </c>
      <c r="N46" s="14" t="s">
        <v>410</v>
      </c>
      <c r="O46" s="14" t="s">
        <v>755</v>
      </c>
      <c r="P46" s="2" t="s">
        <v>1494</v>
      </c>
      <c r="Q46" s="10">
        <v>1</v>
      </c>
      <c r="R46" s="10"/>
      <c r="S46" s="10"/>
      <c r="T46" s="9"/>
      <c r="U46" s="9"/>
      <c r="V46" s="9"/>
      <c r="W46" s="45">
        <v>56.400000000000006</v>
      </c>
      <c r="X46" s="45">
        <v>56.400000000000006</v>
      </c>
      <c r="Y46" s="23"/>
      <c r="Z46" s="6">
        <v>4.7</v>
      </c>
      <c r="AD46" s="45"/>
      <c r="AE46">
        <v>4</v>
      </c>
      <c r="AF46">
        <v>14</v>
      </c>
      <c r="AG46">
        <v>0</v>
      </c>
      <c r="AH46" s="23">
        <v>4.7</v>
      </c>
      <c r="AI46">
        <v>4</v>
      </c>
      <c r="AJ46">
        <v>14</v>
      </c>
      <c r="AK46">
        <v>0</v>
      </c>
      <c r="AL46" s="23">
        <v>4.7</v>
      </c>
      <c r="AM46" s="23"/>
      <c r="BI46" s="23"/>
      <c r="BU46" s="21"/>
      <c r="BY46" s="20">
        <v>56.400000000000006</v>
      </c>
      <c r="BZ46" s="20">
        <v>56.400000000000006</v>
      </c>
      <c r="CL46">
        <v>1419</v>
      </c>
      <c r="CM46" s="2" t="s">
        <v>461</v>
      </c>
    </row>
    <row r="47" spans="1:91" ht="12.75">
      <c r="A47" s="15">
        <v>1419</v>
      </c>
      <c r="B47" s="14" t="s">
        <v>1077</v>
      </c>
      <c r="C47" s="14" t="s">
        <v>558</v>
      </c>
      <c r="D47" s="14" t="s">
        <v>256</v>
      </c>
      <c r="E47" s="14" t="s">
        <v>272</v>
      </c>
      <c r="F47" s="2" t="s">
        <v>97</v>
      </c>
      <c r="G47" s="2"/>
      <c r="H47" s="2" t="s">
        <v>428</v>
      </c>
      <c r="I47" s="10">
        <v>11</v>
      </c>
      <c r="J47" s="23">
        <v>3.4</v>
      </c>
      <c r="K47" s="2" t="s">
        <v>1218</v>
      </c>
      <c r="L47" s="14" t="s">
        <v>326</v>
      </c>
      <c r="M47" s="2" t="s">
        <v>490</v>
      </c>
      <c r="N47" s="14" t="s">
        <v>410</v>
      </c>
      <c r="O47" s="14" t="s">
        <v>1177</v>
      </c>
      <c r="P47" s="2" t="s">
        <v>1499</v>
      </c>
      <c r="Q47" s="10">
        <v>11</v>
      </c>
      <c r="R47" s="10"/>
      <c r="S47" s="10"/>
      <c r="T47" s="9"/>
      <c r="U47" s="9"/>
      <c r="V47" s="9"/>
      <c r="W47" s="45">
        <v>448.79999999999995</v>
      </c>
      <c r="X47" s="45">
        <v>40.8</v>
      </c>
      <c r="Y47" s="23"/>
      <c r="Z47" s="6">
        <v>3.4</v>
      </c>
      <c r="AD47" s="45"/>
      <c r="AH47" s="23">
        <v>37.4</v>
      </c>
      <c r="AI47">
        <v>3</v>
      </c>
      <c r="AJ47">
        <v>8</v>
      </c>
      <c r="AK47">
        <v>0</v>
      </c>
      <c r="AL47" s="23">
        <v>3.4</v>
      </c>
      <c r="BI47" s="23"/>
      <c r="BU47" s="21"/>
      <c r="BY47" s="20">
        <v>448.79999999999995</v>
      </c>
      <c r="BZ47" s="20">
        <v>40.8</v>
      </c>
      <c r="CL47">
        <v>1419</v>
      </c>
      <c r="CM47" s="2" t="s">
        <v>490</v>
      </c>
    </row>
    <row r="48" spans="1:91" ht="12.75">
      <c r="A48" s="15">
        <v>1419</v>
      </c>
      <c r="B48" s="14" t="s">
        <v>1077</v>
      </c>
      <c r="C48" s="14" t="s">
        <v>558</v>
      </c>
      <c r="D48" s="14" t="s">
        <v>256</v>
      </c>
      <c r="E48" s="14" t="s">
        <v>272</v>
      </c>
      <c r="F48" s="2" t="s">
        <v>98</v>
      </c>
      <c r="G48" s="2"/>
      <c r="H48" s="2" t="s">
        <v>428</v>
      </c>
      <c r="I48" s="10">
        <v>2</v>
      </c>
      <c r="J48" s="23">
        <v>5</v>
      </c>
      <c r="K48" s="2" t="s">
        <v>704</v>
      </c>
      <c r="L48" s="14" t="s">
        <v>326</v>
      </c>
      <c r="M48" s="2" t="s">
        <v>456</v>
      </c>
      <c r="N48" s="14" t="s">
        <v>408</v>
      </c>
      <c r="O48" s="14" t="s">
        <v>754</v>
      </c>
      <c r="P48" s="2" t="s">
        <v>570</v>
      </c>
      <c r="Q48" s="10">
        <v>2</v>
      </c>
      <c r="R48" s="10"/>
      <c r="S48" s="10"/>
      <c r="T48" s="9"/>
      <c r="U48" s="9"/>
      <c r="V48" s="9"/>
      <c r="W48" s="45">
        <v>120</v>
      </c>
      <c r="X48" s="45">
        <v>60</v>
      </c>
      <c r="Y48" s="23"/>
      <c r="Z48" s="6">
        <v>5</v>
      </c>
      <c r="AH48" s="23">
        <v>10</v>
      </c>
      <c r="AI48">
        <v>5</v>
      </c>
      <c r="AJ48">
        <v>0</v>
      </c>
      <c r="AK48">
        <v>0</v>
      </c>
      <c r="AL48" s="23">
        <v>5</v>
      </c>
      <c r="AM48" s="23"/>
      <c r="AZ48" s="23">
        <v>5</v>
      </c>
      <c r="BA48" s="19"/>
      <c r="BB48" s="19"/>
      <c r="BE48" s="23"/>
      <c r="BI48" s="23"/>
      <c r="BR48" s="34"/>
      <c r="BU48" s="21"/>
      <c r="BY48" s="20">
        <v>120</v>
      </c>
      <c r="BZ48" s="20">
        <v>60</v>
      </c>
      <c r="CL48">
        <v>1419</v>
      </c>
      <c r="CM48" s="2" t="s">
        <v>456</v>
      </c>
    </row>
    <row r="49" spans="1:91" ht="12.75">
      <c r="A49" s="15">
        <v>1419</v>
      </c>
      <c r="B49" s="14" t="s">
        <v>1077</v>
      </c>
      <c r="C49" s="14" t="s">
        <v>558</v>
      </c>
      <c r="D49" s="14" t="s">
        <v>256</v>
      </c>
      <c r="E49" s="14" t="s">
        <v>272</v>
      </c>
      <c r="F49" s="2" t="s">
        <v>103</v>
      </c>
      <c r="G49" s="2"/>
      <c r="H49" s="2" t="s">
        <v>428</v>
      </c>
      <c r="I49" s="10">
        <v>2</v>
      </c>
      <c r="J49" s="23">
        <v>3.4</v>
      </c>
      <c r="K49" s="2" t="s">
        <v>1215</v>
      </c>
      <c r="L49" s="14" t="s">
        <v>326</v>
      </c>
      <c r="M49" s="2" t="s">
        <v>490</v>
      </c>
      <c r="N49" s="14" t="s">
        <v>410</v>
      </c>
      <c r="O49" s="14" t="s">
        <v>1177</v>
      </c>
      <c r="P49" s="2" t="s">
        <v>1311</v>
      </c>
      <c r="Q49" s="10">
        <v>2</v>
      </c>
      <c r="R49" s="10"/>
      <c r="S49" s="10"/>
      <c r="T49" s="9"/>
      <c r="U49" s="9"/>
      <c r="V49" s="9"/>
      <c r="W49" s="45">
        <v>81.6</v>
      </c>
      <c r="X49" s="45">
        <v>40.8</v>
      </c>
      <c r="Y49" s="23"/>
      <c r="Z49" s="6">
        <v>3.4</v>
      </c>
      <c r="AD49" s="45"/>
      <c r="AH49" s="23">
        <v>6.8</v>
      </c>
      <c r="AI49">
        <v>3</v>
      </c>
      <c r="AJ49">
        <v>8</v>
      </c>
      <c r="AK49">
        <v>0</v>
      </c>
      <c r="AL49" s="23">
        <v>3.4</v>
      </c>
      <c r="AM49" s="23"/>
      <c r="BD49" s="23">
        <v>3.4</v>
      </c>
      <c r="BE49" s="23"/>
      <c r="BF49" s="23"/>
      <c r="BI49" s="7"/>
      <c r="BR49" s="34"/>
      <c r="BU49" s="21"/>
      <c r="BY49" s="20">
        <v>81.6</v>
      </c>
      <c r="BZ49" s="20">
        <v>40.8</v>
      </c>
      <c r="CL49">
        <v>1419</v>
      </c>
      <c r="CM49" s="2" t="s">
        <v>490</v>
      </c>
    </row>
    <row r="51" spans="1:92" ht="12.75">
      <c r="A51" s="15">
        <v>1420</v>
      </c>
      <c r="B51" s="14" t="s">
        <v>952</v>
      </c>
      <c r="C51" s="14" t="s">
        <v>558</v>
      </c>
      <c r="D51" s="14" t="s">
        <v>256</v>
      </c>
      <c r="E51" s="14" t="s">
        <v>275</v>
      </c>
      <c r="F51" s="2" t="s">
        <v>105</v>
      </c>
      <c r="G51" s="2">
        <v>1</v>
      </c>
      <c r="H51" s="2" t="s">
        <v>428</v>
      </c>
      <c r="I51" s="10">
        <v>11</v>
      </c>
      <c r="J51" s="23">
        <v>8</v>
      </c>
      <c r="K51" s="2" t="s">
        <v>698</v>
      </c>
      <c r="L51" s="14" t="s">
        <v>326</v>
      </c>
      <c r="M51" s="2" t="s">
        <v>452</v>
      </c>
      <c r="N51" s="14" t="s">
        <v>410</v>
      </c>
      <c r="O51" s="14" t="s">
        <v>347</v>
      </c>
      <c r="P51" s="2" t="s">
        <v>534</v>
      </c>
      <c r="Q51" s="10">
        <v>11</v>
      </c>
      <c r="R51" s="10"/>
      <c r="S51" s="10"/>
      <c r="T51" s="9"/>
      <c r="U51" s="9"/>
      <c r="V51" s="9"/>
      <c r="W51" s="45">
        <v>1056</v>
      </c>
      <c r="X51" s="45">
        <v>96</v>
      </c>
      <c r="Y51" s="23">
        <v>58.18181818181818</v>
      </c>
      <c r="Z51" s="6">
        <v>8</v>
      </c>
      <c r="AD51" s="45"/>
      <c r="AE51">
        <v>77</v>
      </c>
      <c r="AF51">
        <v>0</v>
      </c>
      <c r="AG51">
        <v>0</v>
      </c>
      <c r="AH51" s="23">
        <v>77</v>
      </c>
      <c r="AI51">
        <v>7</v>
      </c>
      <c r="AJ51">
        <v>0</v>
      </c>
      <c r="AK51">
        <v>0</v>
      </c>
      <c r="AL51" s="23">
        <v>8</v>
      </c>
      <c r="AM51" s="23">
        <v>4.848484848484849</v>
      </c>
      <c r="BF51" s="23"/>
      <c r="BI51" s="7"/>
      <c r="BR51" s="34"/>
      <c r="BU51" s="21"/>
      <c r="BY51" s="20">
        <v>1056</v>
      </c>
      <c r="BZ51" s="20">
        <v>96</v>
      </c>
      <c r="CL51">
        <v>1420</v>
      </c>
      <c r="CM51" s="2" t="s">
        <v>451</v>
      </c>
      <c r="CN51" t="s">
        <v>1026</v>
      </c>
    </row>
    <row r="52" spans="1:91" ht="12.75">
      <c r="A52" s="15">
        <v>1420</v>
      </c>
      <c r="B52" s="14" t="s">
        <v>952</v>
      </c>
      <c r="C52" s="14" t="s">
        <v>558</v>
      </c>
      <c r="D52" s="14" t="s">
        <v>256</v>
      </c>
      <c r="E52" s="14" t="s">
        <v>275</v>
      </c>
      <c r="F52" s="2" t="s">
        <v>108</v>
      </c>
      <c r="G52" s="2">
        <v>1</v>
      </c>
      <c r="H52" s="2" t="s">
        <v>428</v>
      </c>
      <c r="I52" s="10">
        <v>1</v>
      </c>
      <c r="J52" s="23">
        <v>5.4</v>
      </c>
      <c r="K52" s="2" t="s">
        <v>829</v>
      </c>
      <c r="L52" s="14" t="s">
        <v>326</v>
      </c>
      <c r="M52" s="2" t="s">
        <v>475</v>
      </c>
      <c r="N52" s="14" t="s">
        <v>408</v>
      </c>
      <c r="O52" s="14" t="s">
        <v>751</v>
      </c>
      <c r="P52" s="2" t="s">
        <v>567</v>
      </c>
      <c r="Q52" s="10">
        <v>1</v>
      </c>
      <c r="R52" s="10"/>
      <c r="S52" s="10"/>
      <c r="T52" s="9"/>
      <c r="U52" s="9"/>
      <c r="V52" s="9"/>
      <c r="W52" s="45">
        <v>64.80000000000001</v>
      </c>
      <c r="X52" s="45">
        <v>64.80000000000001</v>
      </c>
      <c r="Y52" s="23"/>
      <c r="Z52" s="6">
        <v>5.4</v>
      </c>
      <c r="AD52" s="45"/>
      <c r="AE52">
        <v>5</v>
      </c>
      <c r="AF52">
        <v>8</v>
      </c>
      <c r="AG52">
        <v>0</v>
      </c>
      <c r="AH52" s="23">
        <v>5.4</v>
      </c>
      <c r="AI52">
        <v>5</v>
      </c>
      <c r="AJ52">
        <v>8</v>
      </c>
      <c r="AK52">
        <v>0</v>
      </c>
      <c r="AL52" s="23">
        <v>5.4</v>
      </c>
      <c r="AM52" s="23"/>
      <c r="AZ52" s="23">
        <v>5.4</v>
      </c>
      <c r="BF52" s="23"/>
      <c r="BI52" s="7"/>
      <c r="BR52" s="34"/>
      <c r="BU52" s="21"/>
      <c r="BY52" s="20">
        <v>64.80000000000001</v>
      </c>
      <c r="BZ52" s="20">
        <v>64.80000000000001</v>
      </c>
      <c r="CL52">
        <v>1420</v>
      </c>
      <c r="CM52" s="2" t="s">
        <v>475</v>
      </c>
    </row>
    <row r="53" spans="1:91" ht="12.75">
      <c r="A53" s="15">
        <v>1420</v>
      </c>
      <c r="B53" s="14" t="s">
        <v>952</v>
      </c>
      <c r="C53" s="14" t="s">
        <v>558</v>
      </c>
      <c r="D53" s="14" t="s">
        <v>256</v>
      </c>
      <c r="E53" s="14" t="s">
        <v>275</v>
      </c>
      <c r="F53" s="2" t="s">
        <v>109</v>
      </c>
      <c r="G53" s="2">
        <v>1</v>
      </c>
      <c r="H53" s="2" t="s">
        <v>428</v>
      </c>
      <c r="I53" s="10">
        <v>1</v>
      </c>
      <c r="J53" s="23">
        <v>3.35</v>
      </c>
      <c r="K53" s="2" t="s">
        <v>664</v>
      </c>
      <c r="L53" s="14" t="s">
        <v>326</v>
      </c>
      <c r="M53" s="2" t="s">
        <v>446</v>
      </c>
      <c r="N53" s="14" t="s">
        <v>410</v>
      </c>
      <c r="O53" s="14" t="s">
        <v>753</v>
      </c>
      <c r="P53" s="2" t="s">
        <v>287</v>
      </c>
      <c r="Q53" s="10">
        <v>1</v>
      </c>
      <c r="R53" s="10"/>
      <c r="S53" s="10"/>
      <c r="T53" s="9"/>
      <c r="U53" s="9"/>
      <c r="V53" s="9"/>
      <c r="W53" s="45">
        <v>40.2</v>
      </c>
      <c r="X53" s="45">
        <v>40.2</v>
      </c>
      <c r="Y53" s="23"/>
      <c r="Z53" s="6">
        <v>3.35</v>
      </c>
      <c r="AD53" s="45"/>
      <c r="AE53">
        <v>3</v>
      </c>
      <c r="AF53">
        <v>7</v>
      </c>
      <c r="AG53">
        <v>0</v>
      </c>
      <c r="AH53" s="23">
        <v>3.35</v>
      </c>
      <c r="AI53">
        <v>3</v>
      </c>
      <c r="AJ53">
        <v>7</v>
      </c>
      <c r="AK53">
        <v>0</v>
      </c>
      <c r="AL53" s="23">
        <v>3.35</v>
      </c>
      <c r="BD53" s="23">
        <v>3.35</v>
      </c>
      <c r="BI53" s="7"/>
      <c r="BR53" s="34"/>
      <c r="BU53" s="21"/>
      <c r="BY53" s="20">
        <v>40.2</v>
      </c>
      <c r="BZ53" s="20">
        <v>40.2</v>
      </c>
      <c r="CL53">
        <v>1420</v>
      </c>
      <c r="CM53" s="2" t="s">
        <v>446</v>
      </c>
    </row>
    <row r="54" spans="1:91" ht="12.75">
      <c r="A54" s="15">
        <v>1420</v>
      </c>
      <c r="B54" s="14" t="s">
        <v>952</v>
      </c>
      <c r="C54" s="14" t="s">
        <v>558</v>
      </c>
      <c r="D54" s="14" t="s">
        <v>256</v>
      </c>
      <c r="E54" s="14" t="s">
        <v>275</v>
      </c>
      <c r="F54" s="2" t="s">
        <v>110</v>
      </c>
      <c r="G54" s="2">
        <v>1</v>
      </c>
      <c r="H54" s="2" t="s">
        <v>428</v>
      </c>
      <c r="I54" s="10">
        <v>1</v>
      </c>
      <c r="J54" s="23">
        <v>3.3</v>
      </c>
      <c r="K54" s="2" t="s">
        <v>1228</v>
      </c>
      <c r="L54" s="14" t="s">
        <v>326</v>
      </c>
      <c r="M54" s="2" t="s">
        <v>490</v>
      </c>
      <c r="N54" s="14" t="s">
        <v>410</v>
      </c>
      <c r="O54" s="14" t="s">
        <v>1177</v>
      </c>
      <c r="P54" s="2" t="s">
        <v>636</v>
      </c>
      <c r="Q54" s="10">
        <v>1</v>
      </c>
      <c r="R54" s="10"/>
      <c r="S54" s="10"/>
      <c r="T54" s="9"/>
      <c r="U54" s="9"/>
      <c r="V54" s="9"/>
      <c r="W54" s="45">
        <v>39.599999999999994</v>
      </c>
      <c r="X54" s="45">
        <v>39.599999999999994</v>
      </c>
      <c r="Y54" s="23"/>
      <c r="Z54" s="6">
        <v>3.3</v>
      </c>
      <c r="AE54">
        <v>3</v>
      </c>
      <c r="AF54">
        <v>6</v>
      </c>
      <c r="AG54">
        <v>0</v>
      </c>
      <c r="AH54" s="23">
        <v>3.3</v>
      </c>
      <c r="AI54">
        <v>3</v>
      </c>
      <c r="AJ54">
        <v>6</v>
      </c>
      <c r="AK54">
        <v>0</v>
      </c>
      <c r="AL54" s="23">
        <v>3.3</v>
      </c>
      <c r="AM54" s="23"/>
      <c r="AW54" s="7"/>
      <c r="AX54" s="23"/>
      <c r="AZ54" s="23">
        <v>3.3</v>
      </c>
      <c r="BR54" s="34"/>
      <c r="BU54" s="21"/>
      <c r="BY54" s="20">
        <v>39.599999999999994</v>
      </c>
      <c r="BZ54" s="20">
        <v>39.599999999999994</v>
      </c>
      <c r="CL54">
        <v>1420</v>
      </c>
      <c r="CM54" s="2" t="s">
        <v>490</v>
      </c>
    </row>
    <row r="56" spans="1:92" ht="12.75">
      <c r="A56" s="15">
        <v>1420</v>
      </c>
      <c r="B56" s="14" t="s">
        <v>952</v>
      </c>
      <c r="C56" s="14" t="s">
        <v>558</v>
      </c>
      <c r="D56" s="14" t="s">
        <v>256</v>
      </c>
      <c r="E56" s="14" t="s">
        <v>275</v>
      </c>
      <c r="F56" s="2" t="s">
        <v>107</v>
      </c>
      <c r="G56" s="2">
        <v>2</v>
      </c>
      <c r="H56" s="2" t="s">
        <v>428</v>
      </c>
      <c r="I56" s="10">
        <v>50</v>
      </c>
      <c r="J56" s="23">
        <v>3.6</v>
      </c>
      <c r="K56" s="2" t="s">
        <v>1235</v>
      </c>
      <c r="L56" s="14" t="s">
        <v>326</v>
      </c>
      <c r="M56" s="2" t="s">
        <v>488</v>
      </c>
      <c r="N56" s="14" t="s">
        <v>410</v>
      </c>
      <c r="O56" s="14" t="s">
        <v>1178</v>
      </c>
      <c r="P56" s="2" t="s">
        <v>1301</v>
      </c>
      <c r="Q56" s="10">
        <v>50</v>
      </c>
      <c r="R56" s="10"/>
      <c r="S56" s="10"/>
      <c r="T56" s="9"/>
      <c r="U56" s="9"/>
      <c r="V56" s="9"/>
      <c r="W56" s="45">
        <v>2160</v>
      </c>
      <c r="X56" s="45">
        <v>43.2</v>
      </c>
      <c r="Y56" s="23"/>
      <c r="Z56" s="6">
        <v>3.6</v>
      </c>
      <c r="AD56" s="45"/>
      <c r="AH56" s="23">
        <v>180</v>
      </c>
      <c r="AI56">
        <v>3</v>
      </c>
      <c r="AJ56">
        <v>12</v>
      </c>
      <c r="AK56">
        <v>0</v>
      </c>
      <c r="AL56" s="23">
        <v>3.6</v>
      </c>
      <c r="AZ56" s="23"/>
      <c r="BE56" s="23">
        <v>3.6</v>
      </c>
      <c r="BI56" s="23"/>
      <c r="BR56" s="34"/>
      <c r="BU56" s="21"/>
      <c r="BY56" s="20">
        <v>2160</v>
      </c>
      <c r="BZ56" s="20">
        <v>43.2</v>
      </c>
      <c r="CL56">
        <v>1420</v>
      </c>
      <c r="CM56" s="2" t="s">
        <v>488</v>
      </c>
      <c r="CN56" t="s">
        <v>1052</v>
      </c>
    </row>
    <row r="58" spans="1:91" ht="12.75">
      <c r="A58" s="15" t="s">
        <v>13</v>
      </c>
      <c r="B58" s="14" t="s">
        <v>3</v>
      </c>
      <c r="C58" s="14" t="s">
        <v>1267</v>
      </c>
      <c r="D58" s="14" t="s">
        <v>13</v>
      </c>
      <c r="E58" s="14" t="s">
        <v>267</v>
      </c>
      <c r="F58" s="2" t="s">
        <v>117</v>
      </c>
      <c r="G58" s="2"/>
      <c r="H58" s="2" t="s">
        <v>428</v>
      </c>
      <c r="I58" s="10">
        <v>2</v>
      </c>
      <c r="J58" s="23">
        <v>3.3</v>
      </c>
      <c r="K58" s="2" t="s">
        <v>912</v>
      </c>
      <c r="L58" s="14" t="s">
        <v>326</v>
      </c>
      <c r="M58" s="2" t="s">
        <v>479</v>
      </c>
      <c r="N58" s="14" t="s">
        <v>410</v>
      </c>
      <c r="O58" s="14" t="s">
        <v>749</v>
      </c>
      <c r="P58" s="2" t="s">
        <v>1293</v>
      </c>
      <c r="Q58" s="10">
        <v>2</v>
      </c>
      <c r="R58" s="10">
        <v>14</v>
      </c>
      <c r="S58" s="10"/>
      <c r="T58" s="9"/>
      <c r="U58" s="9"/>
      <c r="V58" s="9"/>
      <c r="W58" s="45">
        <v>94.6</v>
      </c>
      <c r="X58" s="45">
        <v>39.599999999999994</v>
      </c>
      <c r="Y58" s="23">
        <v>22.000000000000007</v>
      </c>
      <c r="Z58" s="6">
        <v>3.3</v>
      </c>
      <c r="AD58" s="45"/>
      <c r="AE58">
        <v>7</v>
      </c>
      <c r="AF58">
        <v>17</v>
      </c>
      <c r="AG58">
        <v>8</v>
      </c>
      <c r="AH58" s="23">
        <v>7.883333333333334</v>
      </c>
      <c r="AI58">
        <v>3</v>
      </c>
      <c r="AJ58">
        <v>6</v>
      </c>
      <c r="AK58">
        <v>0</v>
      </c>
      <c r="AL58" s="23">
        <v>3.3</v>
      </c>
      <c r="AM58" s="23">
        <v>1.833333333333334</v>
      </c>
      <c r="AW58" s="23"/>
      <c r="AZ58" s="23"/>
      <c r="BF58" s="23">
        <v>3.3</v>
      </c>
      <c r="BI58" s="23"/>
      <c r="BR58" s="34"/>
      <c r="BU58" s="21"/>
      <c r="BY58" s="20">
        <v>94.6</v>
      </c>
      <c r="BZ58" s="20">
        <v>39.599999999999994</v>
      </c>
      <c r="CL58" s="17" t="s">
        <v>13</v>
      </c>
      <c r="CM58" s="2" t="s">
        <v>479</v>
      </c>
    </row>
    <row r="60" spans="1:92" ht="12.75">
      <c r="A60" s="15">
        <v>1420</v>
      </c>
      <c r="B60" s="14" t="s">
        <v>1077</v>
      </c>
      <c r="C60" s="14" t="s">
        <v>558</v>
      </c>
      <c r="D60" s="14" t="s">
        <v>257</v>
      </c>
      <c r="E60" s="14" t="s">
        <v>280</v>
      </c>
      <c r="F60" s="2" t="s">
        <v>118</v>
      </c>
      <c r="G60" s="2">
        <v>1</v>
      </c>
      <c r="H60" s="2" t="s">
        <v>428</v>
      </c>
      <c r="I60" s="10">
        <v>11</v>
      </c>
      <c r="J60" s="23">
        <v>4.95</v>
      </c>
      <c r="K60" s="2" t="s">
        <v>699</v>
      </c>
      <c r="L60" s="14" t="s">
        <v>326</v>
      </c>
      <c r="M60" s="2" t="s">
        <v>453</v>
      </c>
      <c r="N60" s="14" t="s">
        <v>408</v>
      </c>
      <c r="O60" s="14" t="s">
        <v>353</v>
      </c>
      <c r="P60" s="2" t="s">
        <v>1495</v>
      </c>
      <c r="Q60" s="10">
        <v>11</v>
      </c>
      <c r="R60" s="10"/>
      <c r="S60" s="10"/>
      <c r="T60" s="9"/>
      <c r="U60" s="9"/>
      <c r="V60" s="9"/>
      <c r="W60" s="45">
        <v>653.4000000000001</v>
      </c>
      <c r="X60" s="45">
        <v>59.400000000000006</v>
      </c>
      <c r="Y60" s="23"/>
      <c r="Z60" s="6">
        <v>4.95</v>
      </c>
      <c r="AD60" s="45"/>
      <c r="AE60">
        <v>54</v>
      </c>
      <c r="AF60">
        <v>0</v>
      </c>
      <c r="AG60">
        <v>0</v>
      </c>
      <c r="AH60" s="23">
        <v>54</v>
      </c>
      <c r="AI60">
        <v>4</v>
      </c>
      <c r="AJ60">
        <v>19</v>
      </c>
      <c r="AK60">
        <v>0</v>
      </c>
      <c r="AL60" s="23">
        <v>4.95</v>
      </c>
      <c r="BI60" s="23"/>
      <c r="BR60" s="34"/>
      <c r="BU60" s="21"/>
      <c r="BY60" s="20">
        <v>653.4000000000001</v>
      </c>
      <c r="BZ60" s="20">
        <v>59.400000000000006</v>
      </c>
      <c r="CL60">
        <v>1420</v>
      </c>
      <c r="CM60" s="2" t="s">
        <v>453</v>
      </c>
      <c r="CN60" t="s">
        <v>30</v>
      </c>
    </row>
    <row r="61" spans="1:92" ht="12.75">
      <c r="A61" s="15">
        <v>1420</v>
      </c>
      <c r="B61" s="14" t="s">
        <v>1077</v>
      </c>
      <c r="C61" s="14" t="s">
        <v>558</v>
      </c>
      <c r="D61" s="14" t="s">
        <v>257</v>
      </c>
      <c r="E61" s="14" t="s">
        <v>280</v>
      </c>
      <c r="F61" s="2" t="s">
        <v>119</v>
      </c>
      <c r="G61" s="2">
        <v>1</v>
      </c>
      <c r="H61" s="2" t="s">
        <v>428</v>
      </c>
      <c r="I61" s="10">
        <v>5</v>
      </c>
      <c r="J61" s="23">
        <v>4.95</v>
      </c>
      <c r="K61" s="2" t="s">
        <v>699</v>
      </c>
      <c r="L61" s="14" t="s">
        <v>326</v>
      </c>
      <c r="M61" s="2" t="s">
        <v>453</v>
      </c>
      <c r="N61" s="14" t="s">
        <v>408</v>
      </c>
      <c r="O61" s="14" t="s">
        <v>353</v>
      </c>
      <c r="P61" s="2" t="s">
        <v>1427</v>
      </c>
      <c r="Q61" s="10">
        <v>5</v>
      </c>
      <c r="R61" s="10"/>
      <c r="S61" s="10"/>
      <c r="T61" s="9"/>
      <c r="U61" s="9"/>
      <c r="V61" s="9"/>
      <c r="W61" s="45">
        <v>297</v>
      </c>
      <c r="X61" s="45">
        <v>59.400000000000006</v>
      </c>
      <c r="Y61" s="23"/>
      <c r="Z61" s="6">
        <v>4.95</v>
      </c>
      <c r="AD61" s="45"/>
      <c r="AH61" s="23">
        <v>24.75</v>
      </c>
      <c r="AI61">
        <v>4</v>
      </c>
      <c r="AJ61">
        <v>19</v>
      </c>
      <c r="AK61">
        <v>0</v>
      </c>
      <c r="AL61" s="23">
        <v>4.95</v>
      </c>
      <c r="BA61" s="23">
        <v>4.95</v>
      </c>
      <c r="BI61" s="23"/>
      <c r="BR61" s="19"/>
      <c r="BU61" s="21"/>
      <c r="BY61" s="20">
        <v>297</v>
      </c>
      <c r="BZ61" s="20">
        <v>59.4</v>
      </c>
      <c r="CL61">
        <v>1420</v>
      </c>
      <c r="CM61" s="2" t="s">
        <v>453</v>
      </c>
      <c r="CN61" t="s">
        <v>574</v>
      </c>
    </row>
    <row r="62" spans="1:92" ht="12.75">
      <c r="A62" s="15">
        <v>1420</v>
      </c>
      <c r="B62" s="14" t="s">
        <v>1077</v>
      </c>
      <c r="C62" s="14" t="s">
        <v>558</v>
      </c>
      <c r="D62" s="14" t="s">
        <v>257</v>
      </c>
      <c r="E62" s="14" t="s">
        <v>280</v>
      </c>
      <c r="F62" s="2" t="s">
        <v>122</v>
      </c>
      <c r="G62" s="2">
        <v>1</v>
      </c>
      <c r="H62" s="2" t="s">
        <v>428</v>
      </c>
      <c r="I62" s="10">
        <v>11</v>
      </c>
      <c r="J62" s="23">
        <v>3.5</v>
      </c>
      <c r="K62" s="2" t="s">
        <v>1236</v>
      </c>
      <c r="L62" s="14" t="s">
        <v>326</v>
      </c>
      <c r="M62" s="2" t="s">
        <v>490</v>
      </c>
      <c r="N62" s="14" t="s">
        <v>410</v>
      </c>
      <c r="O62" s="14" t="s">
        <v>1177</v>
      </c>
      <c r="P62" s="2" t="s">
        <v>1499</v>
      </c>
      <c r="Q62" s="10">
        <v>11</v>
      </c>
      <c r="R62" s="10"/>
      <c r="S62" s="10"/>
      <c r="T62" s="9"/>
      <c r="U62" s="9"/>
      <c r="V62" s="9"/>
      <c r="W62" s="45">
        <v>462</v>
      </c>
      <c r="X62" s="45">
        <v>42</v>
      </c>
      <c r="Y62" s="23"/>
      <c r="Z62" s="6">
        <v>3.5</v>
      </c>
      <c r="AD62" s="45"/>
      <c r="AE62">
        <v>38</v>
      </c>
      <c r="AF62">
        <v>10</v>
      </c>
      <c r="AG62">
        <v>0</v>
      </c>
      <c r="AH62" s="23">
        <v>38.5</v>
      </c>
      <c r="AI62">
        <v>3</v>
      </c>
      <c r="AJ62">
        <v>10</v>
      </c>
      <c r="AK62">
        <v>0</v>
      </c>
      <c r="AL62" s="23">
        <v>3.5</v>
      </c>
      <c r="AY62" s="7"/>
      <c r="AZ62" s="23"/>
      <c r="BF62" s="7"/>
      <c r="BG62" s="19"/>
      <c r="BH62" s="19"/>
      <c r="BI62" s="23"/>
      <c r="BR62" s="34"/>
      <c r="BU62" s="21"/>
      <c r="BY62" s="20">
        <v>462</v>
      </c>
      <c r="BZ62" s="20">
        <v>42</v>
      </c>
      <c r="CL62">
        <v>1420</v>
      </c>
      <c r="CM62" s="2" t="s">
        <v>490</v>
      </c>
      <c r="CN62" t="s">
        <v>1006</v>
      </c>
    </row>
    <row r="63" spans="1:91" ht="12.75">
      <c r="A63" s="15">
        <v>1420</v>
      </c>
      <c r="B63" s="14" t="s">
        <v>1077</v>
      </c>
      <c r="C63" s="14" t="s">
        <v>558</v>
      </c>
      <c r="D63" s="14" t="s">
        <v>257</v>
      </c>
      <c r="E63" s="14" t="s">
        <v>280</v>
      </c>
      <c r="F63" s="2" t="s">
        <v>123</v>
      </c>
      <c r="G63" s="2">
        <v>1</v>
      </c>
      <c r="H63" s="2" t="s">
        <v>428</v>
      </c>
      <c r="I63" s="10">
        <v>1</v>
      </c>
      <c r="J63" s="23">
        <v>4.825</v>
      </c>
      <c r="K63" s="2" t="s">
        <v>707</v>
      </c>
      <c r="L63" s="14" t="s">
        <v>326</v>
      </c>
      <c r="M63" s="2" t="s">
        <v>478</v>
      </c>
      <c r="N63" s="14" t="s">
        <v>408</v>
      </c>
      <c r="O63" s="14" t="s">
        <v>758</v>
      </c>
      <c r="P63" s="2" t="s">
        <v>570</v>
      </c>
      <c r="Q63" s="10">
        <v>1</v>
      </c>
      <c r="R63" s="10"/>
      <c r="S63" s="10"/>
      <c r="T63" s="9"/>
      <c r="U63" s="9"/>
      <c r="V63" s="9"/>
      <c r="W63" s="45">
        <v>57.900000000000006</v>
      </c>
      <c r="X63" s="45">
        <v>57.900000000000006</v>
      </c>
      <c r="Y63" s="23"/>
      <c r="Z63" s="6">
        <v>4.825</v>
      </c>
      <c r="AD63" s="45"/>
      <c r="AE63">
        <v>4</v>
      </c>
      <c r="AF63">
        <v>16</v>
      </c>
      <c r="AG63">
        <v>6</v>
      </c>
      <c r="AH63" s="23">
        <v>4.825</v>
      </c>
      <c r="AI63">
        <v>4</v>
      </c>
      <c r="AJ63">
        <v>16</v>
      </c>
      <c r="AK63">
        <v>6</v>
      </c>
      <c r="AL63" s="23">
        <v>4.825</v>
      </c>
      <c r="AM63" s="23"/>
      <c r="AY63" s="7"/>
      <c r="AZ63" s="23">
        <v>4.825</v>
      </c>
      <c r="BF63" s="7"/>
      <c r="BG63" s="23"/>
      <c r="BH63" s="23"/>
      <c r="BI63" s="23"/>
      <c r="BR63" s="34"/>
      <c r="BU63" s="21"/>
      <c r="BY63" s="20">
        <v>57.900000000000006</v>
      </c>
      <c r="BZ63" s="20">
        <v>57.900000000000006</v>
      </c>
      <c r="CL63">
        <v>1420</v>
      </c>
      <c r="CM63" s="2" t="s">
        <v>478</v>
      </c>
    </row>
    <row r="64" spans="1:91" ht="12.75">
      <c r="A64" s="15">
        <v>1420</v>
      </c>
      <c r="B64" s="14" t="s">
        <v>1077</v>
      </c>
      <c r="C64" s="14" t="s">
        <v>558</v>
      </c>
      <c r="D64" s="14" t="s">
        <v>257</v>
      </c>
      <c r="E64" s="14" t="s">
        <v>280</v>
      </c>
      <c r="F64" s="2" t="s">
        <v>124</v>
      </c>
      <c r="G64" s="2">
        <v>1</v>
      </c>
      <c r="H64" s="2" t="s">
        <v>428</v>
      </c>
      <c r="I64" s="10">
        <v>1</v>
      </c>
      <c r="J64" s="23">
        <v>3.6</v>
      </c>
      <c r="K64" s="2" t="s">
        <v>1573</v>
      </c>
      <c r="L64" s="14" t="s">
        <v>326</v>
      </c>
      <c r="M64" s="2" t="s">
        <v>431</v>
      </c>
      <c r="N64" s="14" t="s">
        <v>410</v>
      </c>
      <c r="O64" s="14" t="s">
        <v>347</v>
      </c>
      <c r="P64" s="2" t="s">
        <v>287</v>
      </c>
      <c r="Q64" s="10">
        <v>1</v>
      </c>
      <c r="R64" s="10"/>
      <c r="S64" s="10"/>
      <c r="T64" s="9"/>
      <c r="U64" s="9"/>
      <c r="V64" s="9"/>
      <c r="W64" s="45">
        <v>43.2</v>
      </c>
      <c r="X64" s="45">
        <v>43.2</v>
      </c>
      <c r="Y64" s="23"/>
      <c r="Z64" s="6">
        <v>3.6</v>
      </c>
      <c r="AD64" s="45"/>
      <c r="AE64">
        <v>3</v>
      </c>
      <c r="AF64">
        <v>12</v>
      </c>
      <c r="AG64">
        <v>0</v>
      </c>
      <c r="AH64" s="23">
        <v>3.6</v>
      </c>
      <c r="AI64">
        <v>3</v>
      </c>
      <c r="AJ64">
        <v>12</v>
      </c>
      <c r="AK64">
        <v>0</v>
      </c>
      <c r="AL64" s="23">
        <v>3.6</v>
      </c>
      <c r="AM64" s="23"/>
      <c r="AY64" s="7"/>
      <c r="BD64" s="23">
        <v>3.6</v>
      </c>
      <c r="BF64" s="7"/>
      <c r="BG64" s="19"/>
      <c r="BH64" s="19"/>
      <c r="BI64" s="23"/>
      <c r="BR64" s="34"/>
      <c r="BU64" s="21"/>
      <c r="BY64" s="20">
        <v>43.2</v>
      </c>
      <c r="BZ64" s="20">
        <v>43.2</v>
      </c>
      <c r="CL64">
        <v>1420</v>
      </c>
      <c r="CM64" s="2" t="s">
        <v>431</v>
      </c>
    </row>
    <row r="66" spans="1:92" ht="12.75">
      <c r="A66" s="15">
        <v>1421</v>
      </c>
      <c r="B66" s="14" t="s">
        <v>952</v>
      </c>
      <c r="C66" s="14" t="s">
        <v>558</v>
      </c>
      <c r="D66" s="14" t="s">
        <v>257</v>
      </c>
      <c r="E66" s="14" t="s">
        <v>283</v>
      </c>
      <c r="F66" s="2" t="s">
        <v>133</v>
      </c>
      <c r="G66" s="2">
        <v>1</v>
      </c>
      <c r="H66" s="2" t="s">
        <v>428</v>
      </c>
      <c r="I66" s="10">
        <v>1</v>
      </c>
      <c r="J66" s="23">
        <v>5.85</v>
      </c>
      <c r="K66" s="2" t="s">
        <v>696</v>
      </c>
      <c r="L66" s="14" t="s">
        <v>326</v>
      </c>
      <c r="M66" s="2" t="s">
        <v>450</v>
      </c>
      <c r="N66" s="14" t="s">
        <v>410</v>
      </c>
      <c r="O66" s="14" t="s">
        <v>327</v>
      </c>
      <c r="P66" s="2" t="s">
        <v>568</v>
      </c>
      <c r="Q66" s="10">
        <v>1</v>
      </c>
      <c r="R66" s="10"/>
      <c r="S66" s="10"/>
      <c r="T66" s="9"/>
      <c r="U66" s="9"/>
      <c r="V66" s="9"/>
      <c r="W66" s="45">
        <v>70.19999999999999</v>
      </c>
      <c r="X66" s="45">
        <v>70.19999999999999</v>
      </c>
      <c r="Z66" s="6">
        <v>5.85</v>
      </c>
      <c r="AD66" s="45"/>
      <c r="AE66">
        <v>5</v>
      </c>
      <c r="AF66">
        <v>17</v>
      </c>
      <c r="AG66">
        <v>0</v>
      </c>
      <c r="AH66" s="23">
        <v>5.85</v>
      </c>
      <c r="AI66">
        <v>5</v>
      </c>
      <c r="AJ66">
        <v>17</v>
      </c>
      <c r="AK66">
        <v>0</v>
      </c>
      <c r="AL66" s="23">
        <v>5.85</v>
      </c>
      <c r="AW66" s="7"/>
      <c r="AX66" s="7"/>
      <c r="AZ66" s="23">
        <v>5.85</v>
      </c>
      <c r="BR66" s="34"/>
      <c r="BU66" s="21"/>
      <c r="BY66" s="20">
        <v>70.19999999999999</v>
      </c>
      <c r="BZ66" s="20">
        <v>70.19999999999999</v>
      </c>
      <c r="CL66">
        <v>1421</v>
      </c>
      <c r="CM66" s="2" t="s">
        <v>450</v>
      </c>
      <c r="CN66" t="s">
        <v>1031</v>
      </c>
    </row>
    <row r="67" spans="1:91" ht="12.75">
      <c r="A67" s="15">
        <v>1421</v>
      </c>
      <c r="B67" s="14" t="s">
        <v>952</v>
      </c>
      <c r="C67" s="14" t="s">
        <v>558</v>
      </c>
      <c r="D67" s="14" t="s">
        <v>257</v>
      </c>
      <c r="E67" s="14" t="s">
        <v>283</v>
      </c>
      <c r="F67" s="2" t="s">
        <v>134</v>
      </c>
      <c r="G67" s="2">
        <v>1</v>
      </c>
      <c r="H67" s="2" t="s">
        <v>428</v>
      </c>
      <c r="I67" s="10">
        <v>1</v>
      </c>
      <c r="J67" s="23">
        <v>4.25</v>
      </c>
      <c r="K67" s="2" t="s">
        <v>1559</v>
      </c>
      <c r="L67" s="14" t="s">
        <v>326</v>
      </c>
      <c r="M67" s="2" t="s">
        <v>454</v>
      </c>
      <c r="N67" s="14" t="s">
        <v>410</v>
      </c>
      <c r="O67" s="14" t="s">
        <v>345</v>
      </c>
      <c r="P67" s="2" t="s">
        <v>287</v>
      </c>
      <c r="Q67" s="10">
        <v>1</v>
      </c>
      <c r="R67" s="10"/>
      <c r="S67" s="10"/>
      <c r="T67" s="9"/>
      <c r="U67" s="9"/>
      <c r="V67" s="9"/>
      <c r="W67" s="45">
        <v>51</v>
      </c>
      <c r="X67" s="45">
        <v>51</v>
      </c>
      <c r="Z67" s="6">
        <v>4.25</v>
      </c>
      <c r="AD67" s="45"/>
      <c r="AE67">
        <v>4</v>
      </c>
      <c r="AF67">
        <v>5</v>
      </c>
      <c r="AG67">
        <v>0</v>
      </c>
      <c r="AH67" s="23">
        <v>4.25</v>
      </c>
      <c r="AI67">
        <v>4</v>
      </c>
      <c r="AJ67">
        <v>5</v>
      </c>
      <c r="AK67">
        <v>0</v>
      </c>
      <c r="AL67" s="23">
        <v>4.25</v>
      </c>
      <c r="AW67" s="7"/>
      <c r="AX67" s="7"/>
      <c r="BD67" s="23">
        <v>4.25</v>
      </c>
      <c r="BR67" s="34"/>
      <c r="BU67" s="21"/>
      <c r="BY67" s="20">
        <v>51</v>
      </c>
      <c r="BZ67" s="20">
        <v>51</v>
      </c>
      <c r="CL67">
        <v>1421</v>
      </c>
      <c r="CM67" s="2" t="s">
        <v>454</v>
      </c>
    </row>
    <row r="69" spans="1:91" ht="12.75">
      <c r="A69" s="15" t="s">
        <v>40</v>
      </c>
      <c r="B69" s="14" t="s">
        <v>3</v>
      </c>
      <c r="C69" s="14" t="s">
        <v>1267</v>
      </c>
      <c r="D69" s="14" t="s">
        <v>40</v>
      </c>
      <c r="E69" s="14" t="s">
        <v>268</v>
      </c>
      <c r="F69" s="2" t="s">
        <v>142</v>
      </c>
      <c r="G69" s="2"/>
      <c r="H69" s="2" t="s">
        <v>428</v>
      </c>
      <c r="I69" s="10">
        <v>3</v>
      </c>
      <c r="J69" s="23">
        <v>3.4</v>
      </c>
      <c r="K69" s="2" t="s">
        <v>1236</v>
      </c>
      <c r="L69" s="14" t="s">
        <v>326</v>
      </c>
      <c r="M69" s="2" t="s">
        <v>490</v>
      </c>
      <c r="N69" s="14" t="s">
        <v>410</v>
      </c>
      <c r="O69" s="14" t="s">
        <v>1177</v>
      </c>
      <c r="P69" s="2" t="s">
        <v>1293</v>
      </c>
      <c r="Q69" s="10">
        <v>3</v>
      </c>
      <c r="R69" s="10"/>
      <c r="S69" s="10"/>
      <c r="T69" s="9"/>
      <c r="U69" s="9"/>
      <c r="V69" s="9"/>
      <c r="W69" s="45">
        <v>122.4</v>
      </c>
      <c r="X69" s="45">
        <v>40.8</v>
      </c>
      <c r="Y69" s="23"/>
      <c r="Z69" s="6">
        <v>3.4</v>
      </c>
      <c r="AD69" s="45"/>
      <c r="AE69">
        <v>10</v>
      </c>
      <c r="AF69">
        <v>4</v>
      </c>
      <c r="AG69">
        <v>0</v>
      </c>
      <c r="AH69" s="23">
        <v>10.2</v>
      </c>
      <c r="AI69">
        <v>3</v>
      </c>
      <c r="AJ69">
        <v>8</v>
      </c>
      <c r="AK69">
        <v>0</v>
      </c>
      <c r="AL69" s="23">
        <v>3.4</v>
      </c>
      <c r="AM69" s="23"/>
      <c r="AW69" s="7"/>
      <c r="AX69" s="7"/>
      <c r="BF69" s="23">
        <v>3.4</v>
      </c>
      <c r="BR69" s="34"/>
      <c r="BU69" s="21"/>
      <c r="BY69" s="20">
        <v>122.4</v>
      </c>
      <c r="BZ69" s="20">
        <v>40.8</v>
      </c>
      <c r="CL69" s="17" t="s">
        <v>40</v>
      </c>
      <c r="CM69" s="2" t="s">
        <v>490</v>
      </c>
    </row>
    <row r="71" spans="1:92" ht="12.75">
      <c r="A71" s="15">
        <v>1421</v>
      </c>
      <c r="B71" s="14" t="s">
        <v>1076</v>
      </c>
      <c r="C71" s="14" t="s">
        <v>558</v>
      </c>
      <c r="D71" s="14" t="s">
        <v>258</v>
      </c>
      <c r="E71" s="14" t="s">
        <v>279</v>
      </c>
      <c r="F71" s="2" t="s">
        <v>143</v>
      </c>
      <c r="G71" s="2">
        <v>1</v>
      </c>
      <c r="H71" s="2" t="s">
        <v>428</v>
      </c>
      <c r="I71" s="10">
        <v>11</v>
      </c>
      <c r="J71" s="23">
        <v>4.6</v>
      </c>
      <c r="K71" s="2" t="s">
        <v>711</v>
      </c>
      <c r="L71" s="14" t="s">
        <v>326</v>
      </c>
      <c r="M71" s="2" t="s">
        <v>463</v>
      </c>
      <c r="N71" s="14" t="s">
        <v>408</v>
      </c>
      <c r="O71" s="14" t="s">
        <v>758</v>
      </c>
      <c r="P71" s="2" t="s">
        <v>1494</v>
      </c>
      <c r="Q71" s="10">
        <v>11</v>
      </c>
      <c r="R71" s="10"/>
      <c r="S71" s="10"/>
      <c r="T71" s="9"/>
      <c r="U71" s="9"/>
      <c r="V71" s="9"/>
      <c r="W71" s="45">
        <v>607.1999999999999</v>
      </c>
      <c r="X71" s="45">
        <v>55.2</v>
      </c>
      <c r="Y71" s="23"/>
      <c r="Z71" s="6">
        <v>4.6</v>
      </c>
      <c r="AD71" s="45"/>
      <c r="AE71">
        <v>50</v>
      </c>
      <c r="AF71">
        <v>12</v>
      </c>
      <c r="AG71">
        <v>0</v>
      </c>
      <c r="AH71" s="23">
        <v>50.6</v>
      </c>
      <c r="AI71">
        <v>4</v>
      </c>
      <c r="AJ71">
        <v>12</v>
      </c>
      <c r="AK71">
        <v>0</v>
      </c>
      <c r="AL71" s="23">
        <v>4.6</v>
      </c>
      <c r="AM71" s="23"/>
      <c r="AW71" s="7"/>
      <c r="AX71" s="7"/>
      <c r="BF71" s="23"/>
      <c r="BR71" s="34"/>
      <c r="BU71" s="21"/>
      <c r="BY71" s="20">
        <v>607.1999999999999</v>
      </c>
      <c r="BZ71" s="20">
        <v>55.2</v>
      </c>
      <c r="CL71">
        <v>1421</v>
      </c>
      <c r="CM71" s="2" t="s">
        <v>463</v>
      </c>
      <c r="CN71" t="s">
        <v>1022</v>
      </c>
    </row>
    <row r="72" spans="1:91" ht="12.75">
      <c r="A72" s="15">
        <v>1421</v>
      </c>
      <c r="B72" s="14" t="s">
        <v>1076</v>
      </c>
      <c r="C72" s="14" t="s">
        <v>558</v>
      </c>
      <c r="D72" s="14" t="s">
        <v>258</v>
      </c>
      <c r="E72" s="14" t="s">
        <v>279</v>
      </c>
      <c r="F72" s="2" t="s">
        <v>144</v>
      </c>
      <c r="G72" s="2">
        <v>1</v>
      </c>
      <c r="H72" s="2" t="s">
        <v>428</v>
      </c>
      <c r="I72" s="10">
        <v>11</v>
      </c>
      <c r="J72" s="23">
        <v>3.4</v>
      </c>
      <c r="K72" s="2" t="s">
        <v>1285</v>
      </c>
      <c r="L72" s="14" t="s">
        <v>326</v>
      </c>
      <c r="M72" s="2" t="s">
        <v>436</v>
      </c>
      <c r="N72" s="14" t="s">
        <v>410</v>
      </c>
      <c r="O72" s="14" t="s">
        <v>343</v>
      </c>
      <c r="P72" s="2" t="s">
        <v>1494</v>
      </c>
      <c r="Q72" s="10">
        <v>11</v>
      </c>
      <c r="R72" s="10"/>
      <c r="S72" s="10"/>
      <c r="T72" s="9"/>
      <c r="U72" s="9"/>
      <c r="V72" s="9"/>
      <c r="W72" s="45">
        <v>448.79999999999995</v>
      </c>
      <c r="X72" s="45">
        <v>40.8</v>
      </c>
      <c r="Y72" s="23"/>
      <c r="Z72" s="6">
        <v>3.4</v>
      </c>
      <c r="AD72" s="45"/>
      <c r="AH72" s="23">
        <v>37.4</v>
      </c>
      <c r="AI72">
        <v>3</v>
      </c>
      <c r="AJ72">
        <v>8</v>
      </c>
      <c r="AK72">
        <v>0</v>
      </c>
      <c r="AL72" s="23">
        <v>3.4</v>
      </c>
      <c r="AW72" s="7"/>
      <c r="AX72" s="7"/>
      <c r="BR72" s="34"/>
      <c r="BU72" s="21"/>
      <c r="BY72" s="20">
        <v>448.79999999999995</v>
      </c>
      <c r="BZ72" s="20">
        <v>40.8</v>
      </c>
      <c r="CL72">
        <v>1421</v>
      </c>
      <c r="CM72" s="2" t="s">
        <v>436</v>
      </c>
    </row>
    <row r="73" spans="1:92" ht="12.75">
      <c r="A73" s="15">
        <v>1421</v>
      </c>
      <c r="B73" s="14" t="s">
        <v>1076</v>
      </c>
      <c r="C73" s="14" t="s">
        <v>558</v>
      </c>
      <c r="D73" s="14" t="s">
        <v>258</v>
      </c>
      <c r="E73" s="14" t="s">
        <v>279</v>
      </c>
      <c r="F73" s="2" t="s">
        <v>145</v>
      </c>
      <c r="G73" s="2">
        <v>1</v>
      </c>
      <c r="H73" s="2" t="s">
        <v>428</v>
      </c>
      <c r="I73" s="10">
        <v>2</v>
      </c>
      <c r="J73" s="23">
        <v>3.4</v>
      </c>
      <c r="K73" s="2" t="s">
        <v>1236</v>
      </c>
      <c r="L73" s="14" t="s">
        <v>326</v>
      </c>
      <c r="M73" s="2" t="s">
        <v>490</v>
      </c>
      <c r="N73" s="14" t="s">
        <v>410</v>
      </c>
      <c r="O73" s="14" t="s">
        <v>1177</v>
      </c>
      <c r="P73" s="2" t="s">
        <v>1494</v>
      </c>
      <c r="Q73" s="10">
        <v>2</v>
      </c>
      <c r="R73" s="10"/>
      <c r="S73" s="10"/>
      <c r="T73" s="9"/>
      <c r="U73" s="9"/>
      <c r="V73" s="9"/>
      <c r="W73" s="45">
        <v>81.6</v>
      </c>
      <c r="X73" s="45">
        <v>40.8</v>
      </c>
      <c r="Y73" s="23"/>
      <c r="Z73" s="6">
        <v>3.4</v>
      </c>
      <c r="AD73" s="45"/>
      <c r="AH73" s="23">
        <v>6.8</v>
      </c>
      <c r="AI73">
        <v>3</v>
      </c>
      <c r="AJ73">
        <v>8</v>
      </c>
      <c r="AK73">
        <v>0</v>
      </c>
      <c r="AL73" s="23">
        <v>3.4</v>
      </c>
      <c r="AM73" s="23"/>
      <c r="AW73" s="23"/>
      <c r="AX73" s="7"/>
      <c r="BA73" s="23"/>
      <c r="BR73" s="34"/>
      <c r="BU73" s="21"/>
      <c r="BY73" s="20">
        <v>81.6</v>
      </c>
      <c r="BZ73" s="20">
        <v>40.8</v>
      </c>
      <c r="CL73">
        <v>1421</v>
      </c>
      <c r="CM73" s="2" t="s">
        <v>490</v>
      </c>
      <c r="CN73" t="s">
        <v>1037</v>
      </c>
    </row>
    <row r="74" spans="1:91" ht="12.75">
      <c r="A74" s="15">
        <v>1421</v>
      </c>
      <c r="B74" s="14" t="s">
        <v>1076</v>
      </c>
      <c r="C74" s="14" t="s">
        <v>558</v>
      </c>
      <c r="D74" s="14" t="s">
        <v>258</v>
      </c>
      <c r="E74" s="14" t="s">
        <v>279</v>
      </c>
      <c r="F74" s="2" t="s">
        <v>146</v>
      </c>
      <c r="G74" s="2">
        <v>1</v>
      </c>
      <c r="H74" s="2" t="s">
        <v>428</v>
      </c>
      <c r="I74" s="10">
        <v>1</v>
      </c>
      <c r="J74" s="23">
        <v>2.9</v>
      </c>
      <c r="K74" s="2" t="s">
        <v>1236</v>
      </c>
      <c r="L74" s="14" t="s">
        <v>326</v>
      </c>
      <c r="M74" s="2" t="s">
        <v>490</v>
      </c>
      <c r="N74" s="14" t="s">
        <v>410</v>
      </c>
      <c r="O74" s="14" t="s">
        <v>1177</v>
      </c>
      <c r="P74" s="2" t="s">
        <v>1494</v>
      </c>
      <c r="Q74" s="10">
        <v>1</v>
      </c>
      <c r="R74" s="10"/>
      <c r="S74" s="10"/>
      <c r="T74" s="9"/>
      <c r="U74" s="9"/>
      <c r="V74" s="9"/>
      <c r="W74" s="45">
        <v>34.8</v>
      </c>
      <c r="X74" s="45">
        <v>34.8</v>
      </c>
      <c r="Y74" s="23"/>
      <c r="Z74" s="6">
        <v>2.9</v>
      </c>
      <c r="AD74" s="45"/>
      <c r="AH74" s="23">
        <v>2.9</v>
      </c>
      <c r="AI74">
        <v>2</v>
      </c>
      <c r="AJ74">
        <v>18</v>
      </c>
      <c r="AK74">
        <v>0</v>
      </c>
      <c r="AL74" s="23">
        <v>2.9</v>
      </c>
      <c r="AM74" s="23"/>
      <c r="AW74" s="7"/>
      <c r="AX74" s="7"/>
      <c r="BR74" s="34"/>
      <c r="BU74" s="21"/>
      <c r="BY74" s="20">
        <v>34.8</v>
      </c>
      <c r="BZ74" s="20">
        <v>34.8</v>
      </c>
      <c r="CL74">
        <v>1421</v>
      </c>
      <c r="CM74" s="2" t="s">
        <v>490</v>
      </c>
    </row>
    <row r="75" spans="1:91" ht="12.75">
      <c r="A75" s="15">
        <v>1421</v>
      </c>
      <c r="B75" s="14" t="s">
        <v>1076</v>
      </c>
      <c r="C75" s="14" t="s">
        <v>558</v>
      </c>
      <c r="D75" s="14" t="s">
        <v>258</v>
      </c>
      <c r="E75" s="14" t="s">
        <v>279</v>
      </c>
      <c r="F75" s="2" t="s">
        <v>147</v>
      </c>
      <c r="G75" s="2">
        <v>1</v>
      </c>
      <c r="H75" s="2" t="s">
        <v>428</v>
      </c>
      <c r="I75" s="10">
        <v>2</v>
      </c>
      <c r="J75" s="23">
        <v>3.325</v>
      </c>
      <c r="K75" s="2" t="s">
        <v>1236</v>
      </c>
      <c r="L75" s="14" t="s">
        <v>326</v>
      </c>
      <c r="M75" s="2" t="s">
        <v>490</v>
      </c>
      <c r="N75" s="14" t="s">
        <v>410</v>
      </c>
      <c r="O75" s="14" t="s">
        <v>1177</v>
      </c>
      <c r="P75" s="2" t="s">
        <v>1494</v>
      </c>
      <c r="Q75" s="10">
        <v>2</v>
      </c>
      <c r="R75" s="10"/>
      <c r="S75" s="10"/>
      <c r="T75" s="9"/>
      <c r="U75" s="9"/>
      <c r="V75" s="9"/>
      <c r="W75" s="45">
        <v>79.80000000000001</v>
      </c>
      <c r="X75" s="45">
        <v>39.900000000000006</v>
      </c>
      <c r="Y75" s="23"/>
      <c r="Z75" s="6">
        <v>3.325</v>
      </c>
      <c r="AD75" s="45"/>
      <c r="AH75" s="23">
        <v>6.65</v>
      </c>
      <c r="AI75">
        <v>3</v>
      </c>
      <c r="AJ75">
        <v>6</v>
      </c>
      <c r="AK75">
        <v>6</v>
      </c>
      <c r="AL75" s="23">
        <v>3.325</v>
      </c>
      <c r="AM75" s="23"/>
      <c r="AW75" s="7"/>
      <c r="AX75" s="7"/>
      <c r="BR75" s="34"/>
      <c r="BU75" s="21"/>
      <c r="BY75" s="20">
        <v>79.80000000000001</v>
      </c>
      <c r="BZ75" s="20">
        <v>39.900000000000006</v>
      </c>
      <c r="CL75">
        <v>1421</v>
      </c>
      <c r="CM75" s="2" t="s">
        <v>490</v>
      </c>
    </row>
    <row r="76" spans="1:91" ht="12.75">
      <c r="A76" s="15">
        <v>1421</v>
      </c>
      <c r="B76" s="14" t="s">
        <v>1076</v>
      </c>
      <c r="C76" s="14" t="s">
        <v>558</v>
      </c>
      <c r="D76" s="14" t="s">
        <v>258</v>
      </c>
      <c r="E76" s="14" t="s">
        <v>279</v>
      </c>
      <c r="F76" s="2" t="s">
        <v>148</v>
      </c>
      <c r="G76" s="2">
        <v>1</v>
      </c>
      <c r="H76" s="2" t="s">
        <v>428</v>
      </c>
      <c r="I76" s="10">
        <v>6</v>
      </c>
      <c r="J76" s="23">
        <v>3.3</v>
      </c>
      <c r="K76" s="2" t="s">
        <v>1236</v>
      </c>
      <c r="L76" s="14" t="s">
        <v>326</v>
      </c>
      <c r="M76" s="2" t="s">
        <v>490</v>
      </c>
      <c r="N76" s="14" t="s">
        <v>410</v>
      </c>
      <c r="O76" s="14" t="s">
        <v>1177</v>
      </c>
      <c r="P76" s="2" t="s">
        <v>1494</v>
      </c>
      <c r="Q76" s="10">
        <v>6</v>
      </c>
      <c r="R76" s="10"/>
      <c r="S76" s="10"/>
      <c r="T76" s="9"/>
      <c r="U76" s="9"/>
      <c r="V76" s="9"/>
      <c r="W76" s="45">
        <v>237.59999999999997</v>
      </c>
      <c r="X76" s="45">
        <v>39.599999999999994</v>
      </c>
      <c r="Y76" s="23"/>
      <c r="Z76" s="6">
        <v>3.3</v>
      </c>
      <c r="AD76" s="45"/>
      <c r="AH76" s="23">
        <v>19.799999999999997</v>
      </c>
      <c r="AI76">
        <v>3</v>
      </c>
      <c r="AJ76">
        <v>6</v>
      </c>
      <c r="AK76">
        <v>0</v>
      </c>
      <c r="AL76" s="23">
        <v>3.3</v>
      </c>
      <c r="AW76" s="7"/>
      <c r="AX76" s="7"/>
      <c r="AZ76" s="23"/>
      <c r="BR76" s="34"/>
      <c r="BU76" s="21"/>
      <c r="BY76" s="20">
        <v>237.59999999999997</v>
      </c>
      <c r="BZ76" s="20">
        <v>39.599999999999994</v>
      </c>
      <c r="CL76">
        <v>1421</v>
      </c>
      <c r="CM76" s="2" t="s">
        <v>490</v>
      </c>
    </row>
    <row r="77" spans="1:92" ht="12.75">
      <c r="A77" s="15">
        <v>1421</v>
      </c>
      <c r="B77" s="14" t="s">
        <v>1076</v>
      </c>
      <c r="C77" s="14" t="s">
        <v>558</v>
      </c>
      <c r="D77" s="14" t="s">
        <v>258</v>
      </c>
      <c r="E77" s="14" t="s">
        <v>279</v>
      </c>
      <c r="F77" s="2" t="s">
        <v>149</v>
      </c>
      <c r="G77" s="2">
        <v>1</v>
      </c>
      <c r="H77" s="2" t="s">
        <v>428</v>
      </c>
      <c r="I77" s="10"/>
      <c r="K77" s="2" t="s">
        <v>382</v>
      </c>
      <c r="L77" s="14" t="s">
        <v>326</v>
      </c>
      <c r="M77" s="2" t="s">
        <v>434</v>
      </c>
      <c r="N77" s="14" t="s">
        <v>410</v>
      </c>
      <c r="O77" s="14" t="s">
        <v>327</v>
      </c>
      <c r="P77" s="2" t="s">
        <v>3</v>
      </c>
      <c r="Q77" s="10"/>
      <c r="R77" s="10" t="s">
        <v>3</v>
      </c>
      <c r="S77" s="10"/>
      <c r="T77" s="9"/>
      <c r="U77" s="9"/>
      <c r="V77" s="9"/>
      <c r="W77" s="45"/>
      <c r="X77" s="45"/>
      <c r="Y77" s="23">
        <v>28</v>
      </c>
      <c r="Z77" s="6"/>
      <c r="AD77" s="45"/>
      <c r="AH77" s="23"/>
      <c r="AM77" s="23">
        <v>2.3333333333333335</v>
      </c>
      <c r="AW77" s="7"/>
      <c r="AX77" s="7"/>
      <c r="BD77" s="23"/>
      <c r="BR77" s="34"/>
      <c r="BU77" s="21"/>
      <c r="CL77">
        <v>1421</v>
      </c>
      <c r="CM77" s="2" t="s">
        <v>434</v>
      </c>
      <c r="CN77" t="s">
        <v>1068</v>
      </c>
    </row>
    <row r="78" spans="1:91" ht="12.75">
      <c r="A78" s="15">
        <v>1421</v>
      </c>
      <c r="B78" s="14" t="s">
        <v>1076</v>
      </c>
      <c r="C78" s="14" t="s">
        <v>558</v>
      </c>
      <c r="D78" s="14" t="s">
        <v>258</v>
      </c>
      <c r="E78" s="14" t="s">
        <v>279</v>
      </c>
      <c r="F78" s="2" t="s">
        <v>150</v>
      </c>
      <c r="G78" s="2">
        <v>1</v>
      </c>
      <c r="H78" s="2" t="s">
        <v>428</v>
      </c>
      <c r="I78" s="10">
        <v>1</v>
      </c>
      <c r="J78" s="23">
        <v>3</v>
      </c>
      <c r="K78" s="2" t="s">
        <v>827</v>
      </c>
      <c r="L78" s="14" t="s">
        <v>326</v>
      </c>
      <c r="M78" s="2" t="s">
        <v>473</v>
      </c>
      <c r="N78" s="14" t="s">
        <v>410</v>
      </c>
      <c r="O78" s="14" t="s">
        <v>745</v>
      </c>
      <c r="P78" s="2" t="s">
        <v>943</v>
      </c>
      <c r="Q78" s="10">
        <v>1</v>
      </c>
      <c r="R78" s="10"/>
      <c r="S78" s="10"/>
      <c r="T78" s="9"/>
      <c r="U78" s="9"/>
      <c r="V78" s="9"/>
      <c r="W78" s="45">
        <v>36</v>
      </c>
      <c r="X78" s="45">
        <v>36</v>
      </c>
      <c r="Y78" s="23"/>
      <c r="Z78" s="6">
        <v>3</v>
      </c>
      <c r="AD78" s="45"/>
      <c r="AE78">
        <v>3</v>
      </c>
      <c r="AF78">
        <v>0</v>
      </c>
      <c r="AG78">
        <v>0</v>
      </c>
      <c r="AH78" s="23">
        <v>3</v>
      </c>
      <c r="AI78">
        <v>3</v>
      </c>
      <c r="AJ78">
        <v>0</v>
      </c>
      <c r="AK78">
        <v>0</v>
      </c>
      <c r="AL78" s="23">
        <v>3</v>
      </c>
      <c r="AW78" s="7"/>
      <c r="AX78" s="7"/>
      <c r="AZ78" s="23"/>
      <c r="BB78" s="23">
        <v>3</v>
      </c>
      <c r="BR78" s="34"/>
      <c r="BU78" s="21"/>
      <c r="BY78" s="20">
        <v>36</v>
      </c>
      <c r="BZ78" s="20">
        <v>36</v>
      </c>
      <c r="CL78">
        <v>1421</v>
      </c>
      <c r="CM78" s="2" t="s">
        <v>473</v>
      </c>
    </row>
    <row r="79" spans="1:91" ht="12.75">
      <c r="A79" s="15">
        <v>1421</v>
      </c>
      <c r="B79" s="14" t="s">
        <v>1076</v>
      </c>
      <c r="C79" s="14" t="s">
        <v>558</v>
      </c>
      <c r="D79" s="14" t="s">
        <v>258</v>
      </c>
      <c r="E79" s="14" t="s">
        <v>279</v>
      </c>
      <c r="F79" s="2" t="s">
        <v>151</v>
      </c>
      <c r="G79" s="2">
        <v>1</v>
      </c>
      <c r="H79" s="2" t="s">
        <v>428</v>
      </c>
      <c r="I79" s="10">
        <v>1</v>
      </c>
      <c r="J79" s="23">
        <v>3.2</v>
      </c>
      <c r="K79" s="2" t="s">
        <v>1125</v>
      </c>
      <c r="L79" s="14" t="s">
        <v>326</v>
      </c>
      <c r="M79" s="2" t="s">
        <v>487</v>
      </c>
      <c r="N79" s="14" t="s">
        <v>410</v>
      </c>
      <c r="O79" s="14" t="s">
        <v>1107</v>
      </c>
      <c r="P79" s="2" t="s">
        <v>287</v>
      </c>
      <c r="Q79" s="10">
        <v>1</v>
      </c>
      <c r="R79" s="10"/>
      <c r="S79" s="10"/>
      <c r="T79" s="9"/>
      <c r="U79" s="9"/>
      <c r="V79" s="9"/>
      <c r="W79" s="45">
        <v>38.400000000000006</v>
      </c>
      <c r="X79" s="45">
        <v>38.400000000000006</v>
      </c>
      <c r="Y79" s="23"/>
      <c r="Z79" s="6">
        <v>3.2</v>
      </c>
      <c r="AD79" s="45"/>
      <c r="AE79">
        <v>3</v>
      </c>
      <c r="AF79">
        <v>4</v>
      </c>
      <c r="AG79">
        <v>0</v>
      </c>
      <c r="AH79" s="23">
        <v>3.2</v>
      </c>
      <c r="AI79">
        <v>3</v>
      </c>
      <c r="AJ79">
        <v>4</v>
      </c>
      <c r="AK79">
        <v>0</v>
      </c>
      <c r="AL79" s="23">
        <v>3.2</v>
      </c>
      <c r="AW79" s="7"/>
      <c r="AX79" s="7"/>
      <c r="BD79" s="23">
        <v>3.2</v>
      </c>
      <c r="BG79" s="23"/>
      <c r="BR79" s="34"/>
      <c r="BU79" s="21"/>
      <c r="BY79" s="20">
        <v>38.400000000000006</v>
      </c>
      <c r="BZ79" s="20">
        <v>38.400000000000006</v>
      </c>
      <c r="CL79">
        <v>1421</v>
      </c>
      <c r="CM79" s="2" t="s">
        <v>487</v>
      </c>
    </row>
    <row r="81" spans="1:92" ht="12.75">
      <c r="A81" s="15">
        <v>1422</v>
      </c>
      <c r="B81" s="14" t="s">
        <v>952</v>
      </c>
      <c r="C81" s="14" t="s">
        <v>558</v>
      </c>
      <c r="D81" s="14" t="s">
        <v>258</v>
      </c>
      <c r="E81" s="14" t="s">
        <v>282</v>
      </c>
      <c r="F81" s="2" t="s">
        <v>158</v>
      </c>
      <c r="G81" s="2">
        <v>1</v>
      </c>
      <c r="H81" s="2" t="s">
        <v>428</v>
      </c>
      <c r="I81" s="10">
        <v>11</v>
      </c>
      <c r="J81" s="23">
        <v>7</v>
      </c>
      <c r="K81" s="2" t="s">
        <v>715</v>
      </c>
      <c r="L81" s="14" t="s">
        <v>326</v>
      </c>
      <c r="M81" s="2" t="s">
        <v>459</v>
      </c>
      <c r="N81" s="14" t="s">
        <v>408</v>
      </c>
      <c r="O81" s="14" t="s">
        <v>751</v>
      </c>
      <c r="P81" s="2" t="s">
        <v>534</v>
      </c>
      <c r="Q81" s="10">
        <v>11</v>
      </c>
      <c r="R81" s="10"/>
      <c r="S81" s="10"/>
      <c r="T81" s="9"/>
      <c r="U81" s="9"/>
      <c r="V81" s="9"/>
      <c r="W81" s="45">
        <v>924</v>
      </c>
      <c r="X81" s="45">
        <v>84</v>
      </c>
      <c r="Y81" s="23">
        <v>50.90909090909091</v>
      </c>
      <c r="Z81" s="6">
        <v>7</v>
      </c>
      <c r="AD81" s="45"/>
      <c r="AH81" s="23">
        <v>77</v>
      </c>
      <c r="AI81">
        <v>7</v>
      </c>
      <c r="AJ81">
        <v>0</v>
      </c>
      <c r="AK81">
        <v>0</v>
      </c>
      <c r="AL81" s="23">
        <v>7</v>
      </c>
      <c r="AM81" s="23">
        <v>4.242424242424242</v>
      </c>
      <c r="AW81" s="23"/>
      <c r="AX81" s="7"/>
      <c r="AZ81" s="23"/>
      <c r="BR81" s="34"/>
      <c r="BU81" s="21"/>
      <c r="BY81" s="20">
        <v>924</v>
      </c>
      <c r="BZ81" s="20">
        <v>84</v>
      </c>
      <c r="CL81">
        <v>1422</v>
      </c>
      <c r="CM81" s="2" t="s">
        <v>459</v>
      </c>
      <c r="CN81" t="s">
        <v>1023</v>
      </c>
    </row>
    <row r="82" spans="1:91" ht="12.75">
      <c r="A82" s="15">
        <v>1422</v>
      </c>
      <c r="B82" s="14" t="s">
        <v>952</v>
      </c>
      <c r="C82" s="14" t="s">
        <v>558</v>
      </c>
      <c r="D82" s="14" t="s">
        <v>258</v>
      </c>
      <c r="E82" s="14" t="s">
        <v>282</v>
      </c>
      <c r="F82" s="2" t="s">
        <v>161</v>
      </c>
      <c r="G82" s="2">
        <v>1</v>
      </c>
      <c r="H82" s="2" t="s">
        <v>428</v>
      </c>
      <c r="I82" s="10">
        <v>1</v>
      </c>
      <c r="J82" s="23">
        <v>3.35</v>
      </c>
      <c r="K82" s="2" t="s">
        <v>837</v>
      </c>
      <c r="L82" s="14" t="s">
        <v>326</v>
      </c>
      <c r="M82" s="2" t="s">
        <v>473</v>
      </c>
      <c r="N82" s="14" t="s">
        <v>410</v>
      </c>
      <c r="O82" s="14" t="s">
        <v>745</v>
      </c>
      <c r="P82" s="2" t="s">
        <v>287</v>
      </c>
      <c r="Q82" s="10">
        <v>1</v>
      </c>
      <c r="R82" s="10"/>
      <c r="S82" s="10"/>
      <c r="T82" s="9"/>
      <c r="U82" s="9"/>
      <c r="V82" s="9"/>
      <c r="W82" s="45">
        <v>40.2</v>
      </c>
      <c r="X82" s="45">
        <v>40.2</v>
      </c>
      <c r="Y82" s="23"/>
      <c r="Z82" s="6">
        <v>3.35</v>
      </c>
      <c r="AD82" s="45"/>
      <c r="AE82">
        <v>3</v>
      </c>
      <c r="AF82">
        <v>7</v>
      </c>
      <c r="AG82">
        <v>0</v>
      </c>
      <c r="AH82" s="23">
        <v>3.35</v>
      </c>
      <c r="AI82">
        <v>3</v>
      </c>
      <c r="AJ82">
        <v>7</v>
      </c>
      <c r="AK82">
        <v>0</v>
      </c>
      <c r="AL82" s="23">
        <v>3.35</v>
      </c>
      <c r="AW82" s="7"/>
      <c r="AX82" s="7"/>
      <c r="AZ82" s="23"/>
      <c r="BD82" s="23">
        <v>3.35</v>
      </c>
      <c r="BR82" s="34"/>
      <c r="BU82" s="21"/>
      <c r="BY82" s="20">
        <v>40.2</v>
      </c>
      <c r="BZ82" s="20">
        <v>40.2</v>
      </c>
      <c r="CL82">
        <v>1422</v>
      </c>
      <c r="CM82" s="2" t="s">
        <v>473</v>
      </c>
    </row>
    <row r="84" spans="1:91" ht="12.75">
      <c r="A84" s="15">
        <v>1422</v>
      </c>
      <c r="B84" s="14" t="s">
        <v>952</v>
      </c>
      <c r="C84" s="14" t="s">
        <v>558</v>
      </c>
      <c r="D84" s="14" t="s">
        <v>258</v>
      </c>
      <c r="E84" s="14" t="s">
        <v>282</v>
      </c>
      <c r="F84" s="2" t="s">
        <v>167</v>
      </c>
      <c r="G84" s="2">
        <v>2</v>
      </c>
      <c r="H84" s="2" t="s">
        <v>428</v>
      </c>
      <c r="I84" s="10">
        <v>50</v>
      </c>
      <c r="J84" s="23">
        <v>3.5</v>
      </c>
      <c r="K84" s="2" t="s">
        <v>1518</v>
      </c>
      <c r="L84" s="14" t="s">
        <v>326</v>
      </c>
      <c r="M84" s="2" t="s">
        <v>496</v>
      </c>
      <c r="N84" s="14" t="s">
        <v>410</v>
      </c>
      <c r="O84" s="14" t="s">
        <v>1463</v>
      </c>
      <c r="P84" s="2" t="s">
        <v>1301</v>
      </c>
      <c r="Q84" s="10">
        <v>50</v>
      </c>
      <c r="R84" s="10"/>
      <c r="S84" s="10"/>
      <c r="T84" s="9"/>
      <c r="U84" s="9"/>
      <c r="V84" s="9"/>
      <c r="W84" s="45">
        <v>2100</v>
      </c>
      <c r="X84" s="45">
        <v>42</v>
      </c>
      <c r="Y84" s="23"/>
      <c r="Z84" s="6">
        <v>3.5</v>
      </c>
      <c r="AD84" s="45"/>
      <c r="AH84" s="23">
        <v>175</v>
      </c>
      <c r="AI84">
        <v>3</v>
      </c>
      <c r="AJ84">
        <v>10</v>
      </c>
      <c r="AK84">
        <v>0</v>
      </c>
      <c r="AL84" s="23">
        <v>3.5</v>
      </c>
      <c r="AW84" s="7"/>
      <c r="AX84" s="7"/>
      <c r="BE84" s="23">
        <v>3.5</v>
      </c>
      <c r="BR84" s="34"/>
      <c r="BU84" s="21"/>
      <c r="BY84" s="20">
        <v>2100</v>
      </c>
      <c r="BZ84" s="20">
        <v>42</v>
      </c>
      <c r="CL84">
        <v>1422</v>
      </c>
      <c r="CM84" s="2" t="s">
        <v>496</v>
      </c>
    </row>
    <row r="86" spans="1:91" ht="12.75">
      <c r="A86" s="15" t="s">
        <v>47</v>
      </c>
      <c r="B86" s="14" t="s">
        <v>3</v>
      </c>
      <c r="C86" s="14" t="s">
        <v>1267</v>
      </c>
      <c r="D86" s="14" t="s">
        <v>47</v>
      </c>
      <c r="E86" s="14" t="s">
        <v>268</v>
      </c>
      <c r="F86" s="2" t="s">
        <v>169</v>
      </c>
      <c r="G86" s="2"/>
      <c r="H86" s="2" t="s">
        <v>428</v>
      </c>
      <c r="I86" s="10">
        <v>3</v>
      </c>
      <c r="J86" s="23">
        <v>3.35</v>
      </c>
      <c r="K86" s="2" t="s">
        <v>837</v>
      </c>
      <c r="L86" s="14" t="s">
        <v>326</v>
      </c>
      <c r="M86" s="2" t="s">
        <v>473</v>
      </c>
      <c r="N86" s="14" t="s">
        <v>410</v>
      </c>
      <c r="O86" s="14" t="s">
        <v>745</v>
      </c>
      <c r="P86" s="2" t="s">
        <v>1293</v>
      </c>
      <c r="Q86" s="10">
        <v>3</v>
      </c>
      <c r="R86" s="10"/>
      <c r="S86" s="10"/>
      <c r="T86" s="9"/>
      <c r="U86" s="9"/>
      <c r="V86" s="9"/>
      <c r="W86" s="45">
        <v>120.6</v>
      </c>
      <c r="X86" s="45">
        <v>40.2</v>
      </c>
      <c r="Z86" s="6">
        <v>3.35</v>
      </c>
      <c r="AD86" s="45"/>
      <c r="AE86">
        <v>10</v>
      </c>
      <c r="AF86">
        <v>12</v>
      </c>
      <c r="AG86">
        <v>0</v>
      </c>
      <c r="AH86" s="23">
        <v>10.6</v>
      </c>
      <c r="AI86">
        <v>10</v>
      </c>
      <c r="AJ86">
        <v>12</v>
      </c>
      <c r="AK86">
        <v>0</v>
      </c>
      <c r="AL86" s="23">
        <v>3.35</v>
      </c>
      <c r="AM86" s="23"/>
      <c r="AW86" s="7"/>
      <c r="BA86" s="7"/>
      <c r="BB86" s="19"/>
      <c r="BF86" s="23">
        <v>3.35</v>
      </c>
      <c r="BI86" s="7"/>
      <c r="BR86" s="34"/>
      <c r="BU86" s="21"/>
      <c r="BY86" s="20">
        <v>120.6</v>
      </c>
      <c r="BZ86" s="20">
        <v>40.2</v>
      </c>
      <c r="CL86" s="39" t="s">
        <v>47</v>
      </c>
      <c r="CM86" s="2" t="s">
        <v>473</v>
      </c>
    </row>
    <row r="87" spans="1:90" ht="12.75">
      <c r="A87" s="19"/>
      <c r="AW87" s="19"/>
      <c r="BA87" s="19"/>
      <c r="BB87" s="19"/>
      <c r="BI87" s="19"/>
      <c r="BR87" s="19"/>
      <c r="CL87" s="19"/>
    </row>
    <row r="88" spans="1:92" ht="12.75">
      <c r="A88" s="18">
        <v>1422</v>
      </c>
      <c r="B88" s="14" t="s">
        <v>1077</v>
      </c>
      <c r="C88" s="14" t="s">
        <v>558</v>
      </c>
      <c r="D88" s="14" t="s">
        <v>259</v>
      </c>
      <c r="E88" s="14" t="s">
        <v>271</v>
      </c>
      <c r="F88" s="33" t="s">
        <v>170</v>
      </c>
      <c r="G88" s="2"/>
      <c r="H88" s="2" t="s">
        <v>428</v>
      </c>
      <c r="I88" s="10">
        <v>3</v>
      </c>
      <c r="J88" s="23">
        <v>4.6</v>
      </c>
      <c r="K88" s="2" t="s">
        <v>4</v>
      </c>
      <c r="L88" s="14" t="s">
        <v>326</v>
      </c>
      <c r="M88" s="2" t="s">
        <v>481</v>
      </c>
      <c r="N88" s="14" t="s">
        <v>1422</v>
      </c>
      <c r="O88" s="14" t="s">
        <v>756</v>
      </c>
      <c r="P88" s="2" t="s">
        <v>1494</v>
      </c>
      <c r="Q88" s="10">
        <v>3</v>
      </c>
      <c r="R88" s="10"/>
      <c r="S88" s="10"/>
      <c r="T88" s="9"/>
      <c r="U88" s="9"/>
      <c r="V88" s="9"/>
      <c r="W88" s="45">
        <v>165.6</v>
      </c>
      <c r="X88" s="45">
        <v>55.2</v>
      </c>
      <c r="Z88" s="6">
        <v>4.6</v>
      </c>
      <c r="AD88" s="45"/>
      <c r="AH88" s="23">
        <v>13.8</v>
      </c>
      <c r="AI88">
        <v>4</v>
      </c>
      <c r="AJ88">
        <v>12</v>
      </c>
      <c r="AK88">
        <v>0</v>
      </c>
      <c r="AL88" s="23">
        <v>4.6</v>
      </c>
      <c r="AM88" s="23"/>
      <c r="BD88" s="7"/>
      <c r="BR88" s="34"/>
      <c r="BU88" s="21"/>
      <c r="BY88" s="20">
        <v>165.6</v>
      </c>
      <c r="BZ88" s="20">
        <v>55.2</v>
      </c>
      <c r="CL88">
        <v>1422</v>
      </c>
      <c r="CM88" s="2" t="s">
        <v>481</v>
      </c>
      <c r="CN88" t="s">
        <v>31</v>
      </c>
    </row>
    <row r="89" spans="1:91" ht="12.75">
      <c r="A89" s="18">
        <v>1422</v>
      </c>
      <c r="B89" s="14" t="s">
        <v>1077</v>
      </c>
      <c r="C89" s="14" t="s">
        <v>558</v>
      </c>
      <c r="D89" s="14" t="s">
        <v>259</v>
      </c>
      <c r="E89" s="14" t="s">
        <v>271</v>
      </c>
      <c r="F89" s="33" t="s">
        <v>171</v>
      </c>
      <c r="G89" s="2"/>
      <c r="H89" s="2" t="s">
        <v>428</v>
      </c>
      <c r="I89" s="10">
        <v>2.5</v>
      </c>
      <c r="J89" s="23">
        <v>4.5</v>
      </c>
      <c r="K89" s="2" t="s">
        <v>4</v>
      </c>
      <c r="L89" s="14" t="s">
        <v>326</v>
      </c>
      <c r="M89" s="2" t="s">
        <v>481</v>
      </c>
      <c r="N89" s="14" t="s">
        <v>1422</v>
      </c>
      <c r="O89" s="14" t="s">
        <v>756</v>
      </c>
      <c r="P89" s="2" t="s">
        <v>1494</v>
      </c>
      <c r="Q89" s="10">
        <v>2.5</v>
      </c>
      <c r="R89" s="10"/>
      <c r="S89" s="10"/>
      <c r="T89" s="9"/>
      <c r="U89" s="9"/>
      <c r="V89" s="9"/>
      <c r="W89" s="45">
        <v>135</v>
      </c>
      <c r="X89" s="45">
        <v>54</v>
      </c>
      <c r="Z89" s="6">
        <v>4.5</v>
      </c>
      <c r="AD89" s="45"/>
      <c r="AH89" s="23">
        <v>11.25</v>
      </c>
      <c r="AI89">
        <v>4</v>
      </c>
      <c r="AJ89">
        <v>10</v>
      </c>
      <c r="AK89">
        <v>0</v>
      </c>
      <c r="AL89" s="23">
        <v>4.5</v>
      </c>
      <c r="AM89" s="23"/>
      <c r="AZ89" s="23"/>
      <c r="BI89" s="7"/>
      <c r="BR89" s="34"/>
      <c r="BU89" s="21"/>
      <c r="BY89" s="20">
        <v>135</v>
      </c>
      <c r="BZ89" s="20">
        <v>54</v>
      </c>
      <c r="CL89">
        <v>1422</v>
      </c>
      <c r="CM89" s="2" t="s">
        <v>481</v>
      </c>
    </row>
    <row r="90" spans="1:92" ht="12.75">
      <c r="A90" s="18">
        <v>1422</v>
      </c>
      <c r="B90" s="14" t="s">
        <v>1077</v>
      </c>
      <c r="C90" s="14" t="s">
        <v>558</v>
      </c>
      <c r="D90" s="14" t="s">
        <v>259</v>
      </c>
      <c r="E90" s="14" t="s">
        <v>271</v>
      </c>
      <c r="F90" s="33" t="s">
        <v>172</v>
      </c>
      <c r="G90" s="2"/>
      <c r="H90" s="2" t="s">
        <v>428</v>
      </c>
      <c r="I90" s="10">
        <v>5.5</v>
      </c>
      <c r="J90" s="23">
        <v>5</v>
      </c>
      <c r="K90" s="2" t="s">
        <v>527</v>
      </c>
      <c r="L90" s="14" t="s">
        <v>326</v>
      </c>
      <c r="M90" s="2" t="s">
        <v>485</v>
      </c>
      <c r="N90" s="14" t="s">
        <v>410</v>
      </c>
      <c r="O90" s="14" t="s">
        <v>1002</v>
      </c>
      <c r="P90" s="2" t="s">
        <v>1494</v>
      </c>
      <c r="Q90" s="10">
        <v>5.5</v>
      </c>
      <c r="R90" s="10"/>
      <c r="S90" s="10"/>
      <c r="T90" s="9"/>
      <c r="U90" s="9"/>
      <c r="V90" s="9"/>
      <c r="W90" s="45">
        <v>330</v>
      </c>
      <c r="X90" s="45">
        <v>60</v>
      </c>
      <c r="Z90" s="6">
        <v>5</v>
      </c>
      <c r="AD90" s="45"/>
      <c r="AE90">
        <v>27</v>
      </c>
      <c r="AF90">
        <v>10</v>
      </c>
      <c r="AG90">
        <v>0</v>
      </c>
      <c r="AH90" s="23">
        <v>27.5</v>
      </c>
      <c r="AI90">
        <v>5</v>
      </c>
      <c r="AJ90">
        <v>0</v>
      </c>
      <c r="AK90">
        <v>0</v>
      </c>
      <c r="AL90" s="23">
        <v>5</v>
      </c>
      <c r="AM90" s="23"/>
      <c r="AZ90" s="23"/>
      <c r="BI90" s="7"/>
      <c r="BR90" s="34"/>
      <c r="BU90" s="21"/>
      <c r="BY90" s="20">
        <v>330</v>
      </c>
      <c r="BZ90" s="20">
        <v>60</v>
      </c>
      <c r="CL90">
        <v>1422</v>
      </c>
      <c r="CM90" s="2" t="s">
        <v>485</v>
      </c>
      <c r="CN90" t="s">
        <v>1016</v>
      </c>
    </row>
    <row r="91" spans="1:92" ht="12.75">
      <c r="A91" s="18">
        <v>1422</v>
      </c>
      <c r="B91" s="14" t="s">
        <v>1077</v>
      </c>
      <c r="C91" s="14" t="s">
        <v>558</v>
      </c>
      <c r="D91" s="14" t="s">
        <v>259</v>
      </c>
      <c r="E91" s="14" t="s">
        <v>271</v>
      </c>
      <c r="F91" s="33" t="s">
        <v>173</v>
      </c>
      <c r="G91" s="2"/>
      <c r="H91" s="2" t="s">
        <v>428</v>
      </c>
      <c r="I91" s="10">
        <v>1.5</v>
      </c>
      <c r="J91" s="23">
        <v>5</v>
      </c>
      <c r="K91" s="2" t="s">
        <v>911</v>
      </c>
      <c r="L91" s="14" t="s">
        <v>326</v>
      </c>
      <c r="M91" s="2" t="s">
        <v>481</v>
      </c>
      <c r="N91" s="14" t="s">
        <v>410</v>
      </c>
      <c r="O91" s="14" t="s">
        <v>756</v>
      </c>
      <c r="P91" s="2" t="s">
        <v>1427</v>
      </c>
      <c r="Q91" s="10">
        <v>1.5</v>
      </c>
      <c r="R91" s="10"/>
      <c r="S91" s="10"/>
      <c r="T91" s="9"/>
      <c r="U91" s="9"/>
      <c r="V91" s="9"/>
      <c r="W91" s="45">
        <v>90</v>
      </c>
      <c r="X91" s="45">
        <v>60</v>
      </c>
      <c r="Z91" s="6">
        <v>5</v>
      </c>
      <c r="AD91" s="45"/>
      <c r="AH91" s="23">
        <v>7.5</v>
      </c>
      <c r="AI91">
        <v>5</v>
      </c>
      <c r="AJ91">
        <v>0</v>
      </c>
      <c r="AK91">
        <v>0</v>
      </c>
      <c r="AL91" s="23">
        <v>5</v>
      </c>
      <c r="AM91" s="23"/>
      <c r="BA91" s="23">
        <v>5</v>
      </c>
      <c r="BB91" s="23"/>
      <c r="BE91" s="7"/>
      <c r="BI91" s="7"/>
      <c r="BR91" s="34"/>
      <c r="BU91" s="21"/>
      <c r="BY91" s="20">
        <v>90</v>
      </c>
      <c r="BZ91" s="20">
        <v>60</v>
      </c>
      <c r="CL91">
        <v>1422</v>
      </c>
      <c r="CM91" s="2" t="s">
        <v>481</v>
      </c>
      <c r="CN91" t="s">
        <v>33</v>
      </c>
    </row>
    <row r="92" spans="1:92" ht="12.75">
      <c r="A92" s="18">
        <v>1422</v>
      </c>
      <c r="B92" s="14" t="s">
        <v>1077</v>
      </c>
      <c r="C92" s="14" t="s">
        <v>558</v>
      </c>
      <c r="D92" s="14" t="s">
        <v>259</v>
      </c>
      <c r="E92" s="14" t="s">
        <v>271</v>
      </c>
      <c r="F92" s="33" t="s">
        <v>174</v>
      </c>
      <c r="G92" s="2"/>
      <c r="H92" s="2" t="s">
        <v>428</v>
      </c>
      <c r="I92" s="10">
        <v>1.5</v>
      </c>
      <c r="J92" s="23">
        <v>4.5</v>
      </c>
      <c r="K92" s="2" t="s">
        <v>911</v>
      </c>
      <c r="L92" s="14" t="s">
        <v>326</v>
      </c>
      <c r="M92" s="2" t="s">
        <v>481</v>
      </c>
      <c r="N92" s="14" t="s">
        <v>410</v>
      </c>
      <c r="O92" s="14" t="s">
        <v>756</v>
      </c>
      <c r="P92" s="2" t="s">
        <v>1427</v>
      </c>
      <c r="Q92" s="10">
        <v>1.5</v>
      </c>
      <c r="R92" s="10"/>
      <c r="S92" s="10"/>
      <c r="T92" s="9"/>
      <c r="U92" s="9"/>
      <c r="V92" s="9"/>
      <c r="W92" s="45">
        <v>81</v>
      </c>
      <c r="X92" s="45">
        <v>54</v>
      </c>
      <c r="Z92" s="6">
        <v>4.5</v>
      </c>
      <c r="AD92" s="45"/>
      <c r="AH92" s="23">
        <v>6.75</v>
      </c>
      <c r="AI92">
        <v>4</v>
      </c>
      <c r="AJ92">
        <v>10</v>
      </c>
      <c r="AK92">
        <v>0</v>
      </c>
      <c r="AL92" s="23">
        <v>4.5</v>
      </c>
      <c r="AM92" s="23"/>
      <c r="BA92" s="23">
        <v>4.5</v>
      </c>
      <c r="BE92" s="7"/>
      <c r="BR92" s="34"/>
      <c r="BU92" s="21"/>
      <c r="BY92" s="20">
        <v>81</v>
      </c>
      <c r="BZ92" s="20">
        <v>54</v>
      </c>
      <c r="CL92">
        <v>1422</v>
      </c>
      <c r="CM92" s="2" t="s">
        <v>481</v>
      </c>
      <c r="CN92" t="s">
        <v>444</v>
      </c>
    </row>
    <row r="94" spans="1:92" ht="12.75">
      <c r="A94" s="18">
        <v>1423</v>
      </c>
      <c r="B94" s="14" t="s">
        <v>952</v>
      </c>
      <c r="C94" s="14" t="s">
        <v>300</v>
      </c>
      <c r="D94" s="14" t="s">
        <v>259</v>
      </c>
      <c r="E94" s="14" t="s">
        <v>265</v>
      </c>
      <c r="F94" s="33" t="s">
        <v>175</v>
      </c>
      <c r="G94" s="2"/>
      <c r="H94" s="2" t="s">
        <v>428</v>
      </c>
      <c r="I94" s="10">
        <v>3</v>
      </c>
      <c r="J94" s="23">
        <v>3.2</v>
      </c>
      <c r="K94" s="2" t="s">
        <v>517</v>
      </c>
      <c r="L94" s="14" t="s">
        <v>326</v>
      </c>
      <c r="M94" s="2" t="s">
        <v>440</v>
      </c>
      <c r="N94" s="14" t="s">
        <v>410</v>
      </c>
      <c r="O94" s="14" t="s">
        <v>357</v>
      </c>
      <c r="P94" s="2" t="s">
        <v>6</v>
      </c>
      <c r="Q94" s="10">
        <v>3</v>
      </c>
      <c r="R94" s="10"/>
      <c r="S94" s="10"/>
      <c r="T94" s="9"/>
      <c r="U94" s="9"/>
      <c r="V94" s="9"/>
      <c r="W94" s="45">
        <v>115.20000000000002</v>
      </c>
      <c r="X94" s="45">
        <v>38.400000000000006</v>
      </c>
      <c r="Y94" s="23"/>
      <c r="Z94" s="6">
        <v>3.2</v>
      </c>
      <c r="AE94">
        <v>9</v>
      </c>
      <c r="AF94">
        <v>12</v>
      </c>
      <c r="AG94">
        <v>0</v>
      </c>
      <c r="AH94" s="23">
        <v>9.6</v>
      </c>
      <c r="AI94">
        <v>3</v>
      </c>
      <c r="AJ94">
        <v>4</v>
      </c>
      <c r="AK94">
        <v>0</v>
      </c>
      <c r="AL94" s="23">
        <v>3.2</v>
      </c>
      <c r="AM94" s="23"/>
      <c r="BF94" s="23">
        <v>3.2</v>
      </c>
      <c r="BI94" s="23">
        <v>3.2</v>
      </c>
      <c r="BR94" s="34"/>
      <c r="BU94" s="21"/>
      <c r="BY94" s="20">
        <v>115.20000000000002</v>
      </c>
      <c r="BZ94" s="20">
        <v>38.400000000000006</v>
      </c>
      <c r="CL94">
        <v>1423</v>
      </c>
      <c r="CM94" s="2" t="s">
        <v>440</v>
      </c>
      <c r="CN94" t="s">
        <v>1043</v>
      </c>
    </row>
    <row r="96" spans="1:92" ht="12.75">
      <c r="A96" s="18">
        <v>1423</v>
      </c>
      <c r="B96" s="14" t="s">
        <v>952</v>
      </c>
      <c r="C96" s="14" t="s">
        <v>558</v>
      </c>
      <c r="D96" s="14" t="s">
        <v>259</v>
      </c>
      <c r="E96" s="14" t="s">
        <v>272</v>
      </c>
      <c r="F96" s="33" t="s">
        <v>176</v>
      </c>
      <c r="G96" s="2">
        <v>1</v>
      </c>
      <c r="H96" s="2" t="s">
        <v>428</v>
      </c>
      <c r="I96" s="10">
        <v>11</v>
      </c>
      <c r="J96" s="23">
        <v>7</v>
      </c>
      <c r="K96" s="2" t="s">
        <v>700</v>
      </c>
      <c r="L96" s="14" t="s">
        <v>326</v>
      </c>
      <c r="M96" s="2" t="s">
        <v>460</v>
      </c>
      <c r="N96" s="14" t="s">
        <v>410</v>
      </c>
      <c r="O96" s="14" t="s">
        <v>1002</v>
      </c>
      <c r="P96" s="2" t="s">
        <v>536</v>
      </c>
      <c r="Q96" s="10">
        <v>11</v>
      </c>
      <c r="R96" s="10"/>
      <c r="S96" s="10"/>
      <c r="T96" s="9"/>
      <c r="U96" s="9"/>
      <c r="V96" s="9"/>
      <c r="W96" s="45">
        <v>924</v>
      </c>
      <c r="X96" s="45">
        <v>84</v>
      </c>
      <c r="Y96" s="23">
        <v>50.90909090909091</v>
      </c>
      <c r="Z96" s="6">
        <v>7</v>
      </c>
      <c r="AD96" s="45"/>
      <c r="AH96" s="23">
        <v>77</v>
      </c>
      <c r="AI96">
        <v>7</v>
      </c>
      <c r="AJ96">
        <v>0</v>
      </c>
      <c r="AK96">
        <v>0</v>
      </c>
      <c r="AL96" s="23">
        <v>7</v>
      </c>
      <c r="AM96" s="23">
        <v>4.242424242424242</v>
      </c>
      <c r="AW96" s="23"/>
      <c r="AX96" s="7"/>
      <c r="AY96" s="7"/>
      <c r="AZ96" s="23"/>
      <c r="BA96" s="23">
        <v>7</v>
      </c>
      <c r="BF96" s="7"/>
      <c r="BG96" s="19"/>
      <c r="BH96" s="19"/>
      <c r="BR96" s="34"/>
      <c r="BU96" s="21"/>
      <c r="BY96" s="20">
        <v>924</v>
      </c>
      <c r="BZ96" s="20">
        <v>84</v>
      </c>
      <c r="CL96">
        <v>1423</v>
      </c>
      <c r="CM96" s="2" t="s">
        <v>460</v>
      </c>
      <c r="CN96" t="s">
        <v>1027</v>
      </c>
    </row>
    <row r="97" spans="1:92" ht="12.75">
      <c r="A97" s="18">
        <v>1423</v>
      </c>
      <c r="B97" s="14" t="s">
        <v>952</v>
      </c>
      <c r="C97" s="14" t="s">
        <v>558</v>
      </c>
      <c r="D97" s="14" t="s">
        <v>259</v>
      </c>
      <c r="E97" s="14" t="s">
        <v>272</v>
      </c>
      <c r="F97" s="33" t="s">
        <v>178</v>
      </c>
      <c r="G97" s="2">
        <v>1</v>
      </c>
      <c r="H97" s="2" t="s">
        <v>428</v>
      </c>
      <c r="I97" s="10">
        <v>11</v>
      </c>
      <c r="J97" s="23">
        <v>4</v>
      </c>
      <c r="K97" s="2" t="s">
        <v>1522</v>
      </c>
      <c r="L97" s="14" t="s">
        <v>326</v>
      </c>
      <c r="M97" s="2" t="s">
        <v>499</v>
      </c>
      <c r="N97" s="14" t="s">
        <v>410</v>
      </c>
      <c r="O97" s="14" t="s">
        <v>1460</v>
      </c>
      <c r="P97" s="2" t="s">
        <v>1500</v>
      </c>
      <c r="Q97" s="10">
        <v>11</v>
      </c>
      <c r="R97" s="10"/>
      <c r="S97" s="10"/>
      <c r="T97" s="9"/>
      <c r="U97" s="9"/>
      <c r="V97" s="9"/>
      <c r="W97" s="45">
        <v>528</v>
      </c>
      <c r="X97" s="45">
        <v>48</v>
      </c>
      <c r="Y97" s="23">
        <v>26.666666666666668</v>
      </c>
      <c r="Z97" s="6">
        <v>4</v>
      </c>
      <c r="AD97" s="45"/>
      <c r="AH97" s="23">
        <v>44</v>
      </c>
      <c r="AI97">
        <v>4</v>
      </c>
      <c r="AJ97">
        <v>0</v>
      </c>
      <c r="AK97">
        <v>0</v>
      </c>
      <c r="AL97" s="23">
        <v>4</v>
      </c>
      <c r="AM97" s="23">
        <v>2.2222222222222223</v>
      </c>
      <c r="AX97" s="7"/>
      <c r="AY97" s="7"/>
      <c r="BF97" s="7"/>
      <c r="BG97" s="19"/>
      <c r="BH97" s="19"/>
      <c r="BI97" s="7"/>
      <c r="BR97" s="34"/>
      <c r="BU97" s="21"/>
      <c r="BY97" s="20">
        <v>528</v>
      </c>
      <c r="BZ97" s="20">
        <v>48</v>
      </c>
      <c r="CL97">
        <v>1423</v>
      </c>
      <c r="CM97" s="2" t="s">
        <v>499</v>
      </c>
      <c r="CN97" t="s">
        <v>1029</v>
      </c>
    </row>
    <row r="98" spans="1:92" ht="12.75">
      <c r="A98" s="18">
        <v>1423</v>
      </c>
      <c r="B98" s="14" t="s">
        <v>952</v>
      </c>
      <c r="C98" s="14" t="s">
        <v>558</v>
      </c>
      <c r="D98" s="14" t="s">
        <v>259</v>
      </c>
      <c r="E98" s="14" t="s">
        <v>272</v>
      </c>
      <c r="F98" s="33" t="s">
        <v>179</v>
      </c>
      <c r="G98" s="2">
        <v>1</v>
      </c>
      <c r="H98" s="2" t="s">
        <v>428</v>
      </c>
      <c r="I98" s="10">
        <v>1</v>
      </c>
      <c r="J98" s="23">
        <v>4.9</v>
      </c>
      <c r="K98" s="2" t="s">
        <v>830</v>
      </c>
      <c r="L98" s="14" t="s">
        <v>326</v>
      </c>
      <c r="M98" s="2" t="s">
        <v>475</v>
      </c>
      <c r="N98" s="14" t="s">
        <v>408</v>
      </c>
      <c r="O98" s="14" t="s">
        <v>751</v>
      </c>
      <c r="P98" s="2" t="s">
        <v>567</v>
      </c>
      <c r="Q98" s="10">
        <v>1</v>
      </c>
      <c r="R98" s="10"/>
      <c r="S98" s="10"/>
      <c r="T98" s="9"/>
      <c r="U98" s="9"/>
      <c r="V98" s="9"/>
      <c r="W98" s="45">
        <v>58.8</v>
      </c>
      <c r="X98" s="45">
        <v>58.8</v>
      </c>
      <c r="Y98" s="23"/>
      <c r="Z98" s="6">
        <v>4.9</v>
      </c>
      <c r="AD98" s="45"/>
      <c r="AE98">
        <v>4</v>
      </c>
      <c r="AF98">
        <v>18</v>
      </c>
      <c r="AG98">
        <v>0</v>
      </c>
      <c r="AH98" s="23">
        <v>4.9</v>
      </c>
      <c r="AI98">
        <v>4</v>
      </c>
      <c r="AJ98">
        <v>18</v>
      </c>
      <c r="AK98">
        <v>0</v>
      </c>
      <c r="AL98" s="23">
        <v>4.9</v>
      </c>
      <c r="AM98" s="23"/>
      <c r="AX98" s="7"/>
      <c r="AY98" s="7"/>
      <c r="AZ98" s="23">
        <v>4.9</v>
      </c>
      <c r="BF98" s="7"/>
      <c r="BG98" s="19"/>
      <c r="BH98" s="19"/>
      <c r="BI98" s="7"/>
      <c r="BR98" s="34"/>
      <c r="BU98" s="21"/>
      <c r="BY98" s="20">
        <v>58.8</v>
      </c>
      <c r="BZ98" s="20">
        <v>58.8</v>
      </c>
      <c r="CL98">
        <v>1423</v>
      </c>
      <c r="CM98" s="2" t="s">
        <v>475</v>
      </c>
      <c r="CN98" t="s">
        <v>1020</v>
      </c>
    </row>
    <row r="99" spans="1:92" ht="12.75">
      <c r="A99" s="18">
        <v>1423</v>
      </c>
      <c r="B99" s="14" t="s">
        <v>952</v>
      </c>
      <c r="C99" s="14" t="s">
        <v>558</v>
      </c>
      <c r="D99" s="14" t="s">
        <v>259</v>
      </c>
      <c r="E99" s="14" t="s">
        <v>272</v>
      </c>
      <c r="F99" s="33" t="s">
        <v>180</v>
      </c>
      <c r="G99" s="2">
        <v>1</v>
      </c>
      <c r="H99" s="2" t="s">
        <v>428</v>
      </c>
      <c r="I99" s="10">
        <v>1</v>
      </c>
      <c r="J99" s="23">
        <v>3.2</v>
      </c>
      <c r="K99" s="2" t="s">
        <v>910</v>
      </c>
      <c r="L99" s="14" t="s">
        <v>326</v>
      </c>
      <c r="M99" s="2" t="s">
        <v>482</v>
      </c>
      <c r="N99" s="14" t="s">
        <v>410</v>
      </c>
      <c r="O99" s="14" t="s">
        <v>342</v>
      </c>
      <c r="P99" s="2" t="s">
        <v>288</v>
      </c>
      <c r="Q99" s="10">
        <v>1</v>
      </c>
      <c r="R99" s="10"/>
      <c r="S99" s="10"/>
      <c r="T99" s="9"/>
      <c r="U99" s="9"/>
      <c r="V99" s="9"/>
      <c r="W99" s="45">
        <v>38.400000000000006</v>
      </c>
      <c r="X99" s="45">
        <v>38.400000000000006</v>
      </c>
      <c r="Y99" s="23"/>
      <c r="Z99" s="6">
        <v>3.2</v>
      </c>
      <c r="AD99" s="45"/>
      <c r="AE99">
        <v>3</v>
      </c>
      <c r="AF99">
        <v>4</v>
      </c>
      <c r="AG99">
        <v>0</v>
      </c>
      <c r="AH99" s="23">
        <v>3.2</v>
      </c>
      <c r="AI99">
        <v>3</v>
      </c>
      <c r="AJ99">
        <v>4</v>
      </c>
      <c r="AK99">
        <v>0</v>
      </c>
      <c r="AL99" s="23">
        <v>3.2</v>
      </c>
      <c r="AM99" s="23"/>
      <c r="BD99" s="23">
        <v>3.2</v>
      </c>
      <c r="BR99" s="34"/>
      <c r="BU99" s="21"/>
      <c r="BY99" s="20">
        <v>38.400000000000006</v>
      </c>
      <c r="BZ99" s="20">
        <v>38.400000000000006</v>
      </c>
      <c r="CL99">
        <v>1423</v>
      </c>
      <c r="CM99" s="2" t="s">
        <v>482</v>
      </c>
      <c r="CN99" t="s">
        <v>1039</v>
      </c>
    </row>
    <row r="100" spans="1:91" ht="12.75">
      <c r="A100" s="18">
        <v>1423</v>
      </c>
      <c r="B100" s="14" t="s">
        <v>952</v>
      </c>
      <c r="C100" s="14" t="s">
        <v>558</v>
      </c>
      <c r="D100" s="14" t="s">
        <v>259</v>
      </c>
      <c r="E100" s="14" t="s">
        <v>272</v>
      </c>
      <c r="F100" s="33" t="s">
        <v>181</v>
      </c>
      <c r="G100" s="2">
        <v>1</v>
      </c>
      <c r="H100" s="2" t="s">
        <v>428</v>
      </c>
      <c r="I100" s="10">
        <v>1</v>
      </c>
      <c r="J100" s="23">
        <v>3</v>
      </c>
      <c r="K100" s="2" t="s">
        <v>1228</v>
      </c>
      <c r="L100" s="14" t="s">
        <v>326</v>
      </c>
      <c r="M100" s="2" t="s">
        <v>490</v>
      </c>
      <c r="N100" s="14" t="s">
        <v>410</v>
      </c>
      <c r="O100" s="14" t="s">
        <v>1177</v>
      </c>
      <c r="P100" s="2" t="s">
        <v>636</v>
      </c>
      <c r="Q100" s="10">
        <v>1</v>
      </c>
      <c r="R100" s="10"/>
      <c r="S100" s="10"/>
      <c r="T100" s="9"/>
      <c r="U100" s="9"/>
      <c r="V100" s="9"/>
      <c r="W100" s="45">
        <v>36</v>
      </c>
      <c r="X100" s="45">
        <v>36</v>
      </c>
      <c r="Y100" s="23"/>
      <c r="Z100" s="6">
        <v>3</v>
      </c>
      <c r="AD100" s="45"/>
      <c r="AE100">
        <v>3</v>
      </c>
      <c r="AF100">
        <v>0</v>
      </c>
      <c r="AG100">
        <v>0</v>
      </c>
      <c r="AH100" s="23">
        <v>3</v>
      </c>
      <c r="AI100">
        <v>3</v>
      </c>
      <c r="AJ100">
        <v>0</v>
      </c>
      <c r="AK100">
        <v>0</v>
      </c>
      <c r="AL100" s="23">
        <v>3</v>
      </c>
      <c r="AM100" s="23"/>
      <c r="AZ100" s="23">
        <v>3</v>
      </c>
      <c r="BR100" s="34"/>
      <c r="BU100" s="21"/>
      <c r="BY100" s="20">
        <v>36</v>
      </c>
      <c r="BZ100" s="20">
        <v>36</v>
      </c>
      <c r="CL100">
        <v>1423</v>
      </c>
      <c r="CM100" s="2" t="s">
        <v>490</v>
      </c>
    </row>
    <row r="101" spans="1:91" ht="12.75">
      <c r="A101" s="18">
        <v>1423</v>
      </c>
      <c r="B101" s="14" t="s">
        <v>952</v>
      </c>
      <c r="C101" s="14" t="s">
        <v>558</v>
      </c>
      <c r="D101" s="14" t="s">
        <v>259</v>
      </c>
      <c r="E101" s="14" t="s">
        <v>272</v>
      </c>
      <c r="F101" s="33" t="s">
        <v>182</v>
      </c>
      <c r="G101" s="2">
        <v>1</v>
      </c>
      <c r="H101" s="2" t="s">
        <v>428</v>
      </c>
      <c r="I101" s="10">
        <v>1</v>
      </c>
      <c r="J101" s="23">
        <v>3.1</v>
      </c>
      <c r="K101" s="2" t="s">
        <v>908</v>
      </c>
      <c r="L101" s="14" t="s">
        <v>326</v>
      </c>
      <c r="M101" s="2" t="s">
        <v>480</v>
      </c>
      <c r="N101" s="14" t="s">
        <v>410</v>
      </c>
      <c r="O101" s="14" t="s">
        <v>749</v>
      </c>
      <c r="P101" s="2" t="s">
        <v>1361</v>
      </c>
      <c r="Q101" s="10">
        <v>1</v>
      </c>
      <c r="R101" s="10"/>
      <c r="S101" s="10"/>
      <c r="T101" s="9"/>
      <c r="U101" s="9"/>
      <c r="V101" s="9"/>
      <c r="W101" s="45">
        <v>37.2</v>
      </c>
      <c r="X101" s="45">
        <v>37.2</v>
      </c>
      <c r="Z101" s="6">
        <v>3.1</v>
      </c>
      <c r="AD101" s="45"/>
      <c r="AE101">
        <v>3</v>
      </c>
      <c r="AF101">
        <v>2</v>
      </c>
      <c r="AG101">
        <v>0</v>
      </c>
      <c r="AH101" s="23">
        <v>3.1</v>
      </c>
      <c r="AI101">
        <v>3</v>
      </c>
      <c r="AJ101">
        <v>2</v>
      </c>
      <c r="AK101">
        <v>0</v>
      </c>
      <c r="AL101" s="23">
        <v>3.1</v>
      </c>
      <c r="AM101" s="23"/>
      <c r="AX101" s="7"/>
      <c r="AZ101" s="7"/>
      <c r="BG101" s="23">
        <v>3.1</v>
      </c>
      <c r="BR101" s="34"/>
      <c r="BU101" s="21"/>
      <c r="BY101" s="20">
        <v>37.2</v>
      </c>
      <c r="BZ101" s="20">
        <v>37.2</v>
      </c>
      <c r="CL101">
        <v>1423</v>
      </c>
      <c r="CM101" s="2" t="s">
        <v>480</v>
      </c>
    </row>
    <row r="103" spans="1:92" ht="12.75">
      <c r="A103" s="18">
        <v>1423</v>
      </c>
      <c r="B103" s="14" t="s">
        <v>952</v>
      </c>
      <c r="C103" s="14" t="s">
        <v>558</v>
      </c>
      <c r="D103" s="14" t="s">
        <v>259</v>
      </c>
      <c r="E103" s="14" t="s">
        <v>272</v>
      </c>
      <c r="F103" s="33" t="s">
        <v>183</v>
      </c>
      <c r="G103" s="2">
        <v>2</v>
      </c>
      <c r="H103" s="2" t="s">
        <v>428</v>
      </c>
      <c r="I103" s="10">
        <v>1</v>
      </c>
      <c r="J103" s="23">
        <v>3.2</v>
      </c>
      <c r="K103" s="2" t="s">
        <v>839</v>
      </c>
      <c r="L103" s="14" t="s">
        <v>326</v>
      </c>
      <c r="M103" s="2" t="s">
        <v>473</v>
      </c>
      <c r="N103" s="14" t="s">
        <v>410</v>
      </c>
      <c r="O103" s="14" t="s">
        <v>745</v>
      </c>
      <c r="P103" s="2" t="s">
        <v>1479</v>
      </c>
      <c r="Q103" s="10">
        <v>1</v>
      </c>
      <c r="R103" s="10"/>
      <c r="S103" s="10"/>
      <c r="T103" s="9"/>
      <c r="U103" s="9"/>
      <c r="V103" s="9"/>
      <c r="W103" s="45">
        <v>38.400000000000006</v>
      </c>
      <c r="X103" s="45">
        <v>38.400000000000006</v>
      </c>
      <c r="Y103" s="23"/>
      <c r="Z103" s="6">
        <v>3.2</v>
      </c>
      <c r="AE103">
        <v>3</v>
      </c>
      <c r="AF103">
        <v>4</v>
      </c>
      <c r="AG103">
        <v>0</v>
      </c>
      <c r="AH103" s="23">
        <v>3.2</v>
      </c>
      <c r="AI103">
        <v>3</v>
      </c>
      <c r="AJ103">
        <v>4</v>
      </c>
      <c r="AK103">
        <v>0</v>
      </c>
      <c r="AL103" s="23">
        <v>3.2</v>
      </c>
      <c r="AM103" s="23"/>
      <c r="AZ103" s="7"/>
      <c r="BH103" s="23"/>
      <c r="BI103" s="23">
        <v>3.2</v>
      </c>
      <c r="BU103" s="21"/>
      <c r="BY103" s="20">
        <v>38.400000000000006</v>
      </c>
      <c r="BZ103" s="20">
        <v>38.400000000000006</v>
      </c>
      <c r="CL103">
        <v>1423</v>
      </c>
      <c r="CM103" s="2" t="s">
        <v>473</v>
      </c>
      <c r="CN103" t="s">
        <v>1017</v>
      </c>
    </row>
    <row r="104" spans="1:92" ht="12.75">
      <c r="A104" s="18">
        <v>1423</v>
      </c>
      <c r="B104" s="14" t="s">
        <v>952</v>
      </c>
      <c r="C104" s="14" t="s">
        <v>558</v>
      </c>
      <c r="D104" s="14" t="s">
        <v>259</v>
      </c>
      <c r="E104" s="14" t="s">
        <v>272</v>
      </c>
      <c r="F104" s="33" t="s">
        <v>188</v>
      </c>
      <c r="G104" s="2">
        <v>2</v>
      </c>
      <c r="H104" s="2" t="s">
        <v>428</v>
      </c>
      <c r="I104" s="10">
        <v>25</v>
      </c>
      <c r="J104" s="23">
        <v>3.5</v>
      </c>
      <c r="K104" s="2" t="s">
        <v>1521</v>
      </c>
      <c r="L104" s="14" t="s">
        <v>326</v>
      </c>
      <c r="M104" s="2" t="s">
        <v>498</v>
      </c>
      <c r="N104" s="14" t="s">
        <v>410</v>
      </c>
      <c r="O104" s="14" t="s">
        <v>1460</v>
      </c>
      <c r="P104" s="2" t="s">
        <v>1304</v>
      </c>
      <c r="Q104" s="10">
        <v>25</v>
      </c>
      <c r="R104" s="10"/>
      <c r="S104" s="10"/>
      <c r="T104" s="9"/>
      <c r="U104" s="9"/>
      <c r="V104" s="9"/>
      <c r="W104" s="45">
        <v>1050</v>
      </c>
      <c r="X104" s="45">
        <v>42</v>
      </c>
      <c r="Y104" s="23"/>
      <c r="Z104" s="6">
        <v>3.5</v>
      </c>
      <c r="AH104" s="23">
        <v>87.5</v>
      </c>
      <c r="AI104">
        <v>3</v>
      </c>
      <c r="AJ104">
        <v>10</v>
      </c>
      <c r="AK104">
        <v>0</v>
      </c>
      <c r="AL104" s="23">
        <v>3.5</v>
      </c>
      <c r="AM104" s="23"/>
      <c r="BE104" s="23">
        <v>3.5</v>
      </c>
      <c r="BF104" s="23"/>
      <c r="BU104" s="21"/>
      <c r="BY104" s="20">
        <v>1050</v>
      </c>
      <c r="BZ104" s="20">
        <v>42</v>
      </c>
      <c r="CL104">
        <v>1423</v>
      </c>
      <c r="CM104" s="2" t="s">
        <v>498</v>
      </c>
      <c r="CN104" t="s">
        <v>1008</v>
      </c>
    </row>
    <row r="105" spans="1:92" ht="12.75">
      <c r="A105" s="18">
        <v>1423</v>
      </c>
      <c r="B105" s="14" t="s">
        <v>952</v>
      </c>
      <c r="C105" s="14" t="s">
        <v>558</v>
      </c>
      <c r="D105" s="14" t="s">
        <v>259</v>
      </c>
      <c r="E105" s="14" t="s">
        <v>272</v>
      </c>
      <c r="F105" s="33" t="s">
        <v>189</v>
      </c>
      <c r="G105" s="2">
        <v>2</v>
      </c>
      <c r="H105" s="2" t="s">
        <v>428</v>
      </c>
      <c r="I105" s="10">
        <v>25</v>
      </c>
      <c r="J105" s="23">
        <v>3.5</v>
      </c>
      <c r="K105" s="2" t="s">
        <v>383</v>
      </c>
      <c r="L105" s="14" t="s">
        <v>326</v>
      </c>
      <c r="M105" s="2" t="s">
        <v>432</v>
      </c>
      <c r="N105" s="14" t="s">
        <v>410</v>
      </c>
      <c r="O105" s="14" t="s">
        <v>327</v>
      </c>
      <c r="P105" s="2" t="s">
        <v>1304</v>
      </c>
      <c r="Q105" s="10">
        <v>25</v>
      </c>
      <c r="R105" s="10"/>
      <c r="S105" s="10"/>
      <c r="T105" s="9"/>
      <c r="U105" s="9"/>
      <c r="V105" s="9"/>
      <c r="W105" s="45">
        <v>1050</v>
      </c>
      <c r="X105" s="45">
        <v>42</v>
      </c>
      <c r="Z105" s="6">
        <v>3.5</v>
      </c>
      <c r="AD105" s="45"/>
      <c r="AH105" s="23">
        <v>87.5</v>
      </c>
      <c r="AI105">
        <v>3</v>
      </c>
      <c r="AJ105">
        <v>10</v>
      </c>
      <c r="AK105">
        <v>0</v>
      </c>
      <c r="AL105" s="23">
        <v>3.5</v>
      </c>
      <c r="AM105" s="23"/>
      <c r="BD105" s="7"/>
      <c r="BE105" s="23">
        <v>3.5</v>
      </c>
      <c r="BR105" s="34"/>
      <c r="BU105" s="21"/>
      <c r="BY105" s="20">
        <v>1050</v>
      </c>
      <c r="BZ105" s="20">
        <v>42</v>
      </c>
      <c r="CL105">
        <v>1423</v>
      </c>
      <c r="CM105" s="2" t="s">
        <v>432</v>
      </c>
      <c r="CN105" t="s">
        <v>1008</v>
      </c>
    </row>
    <row r="107" spans="1:92" ht="12.75">
      <c r="A107" s="18">
        <v>1423</v>
      </c>
      <c r="B107" s="14" t="s">
        <v>1077</v>
      </c>
      <c r="C107" s="14" t="s">
        <v>559</v>
      </c>
      <c r="D107" s="14" t="s">
        <v>260</v>
      </c>
      <c r="E107" s="14" t="s">
        <v>269</v>
      </c>
      <c r="F107" s="33" t="s">
        <v>190</v>
      </c>
      <c r="G107" s="2"/>
      <c r="H107" s="2" t="s">
        <v>428</v>
      </c>
      <c r="I107" s="10">
        <v>5.5</v>
      </c>
      <c r="J107" s="23">
        <v>5</v>
      </c>
      <c r="K107" s="2" t="s">
        <v>514</v>
      </c>
      <c r="L107" s="14" t="s">
        <v>326</v>
      </c>
      <c r="M107" s="2" t="s">
        <v>484</v>
      </c>
      <c r="N107" s="14" t="s">
        <v>408</v>
      </c>
      <c r="O107" s="14" t="s">
        <v>1067</v>
      </c>
      <c r="P107" s="2" t="s">
        <v>1494</v>
      </c>
      <c r="Q107" s="10">
        <v>5.5</v>
      </c>
      <c r="R107" s="10"/>
      <c r="S107" s="10"/>
      <c r="T107" s="9"/>
      <c r="U107" s="9"/>
      <c r="V107" s="9"/>
      <c r="W107" s="45">
        <v>330</v>
      </c>
      <c r="X107" s="45">
        <v>60</v>
      </c>
      <c r="Z107" s="6">
        <v>5</v>
      </c>
      <c r="AD107" s="45"/>
      <c r="AH107" s="23">
        <v>27.5</v>
      </c>
      <c r="AI107">
        <v>5</v>
      </c>
      <c r="AJ107">
        <v>0</v>
      </c>
      <c r="AK107">
        <v>0</v>
      </c>
      <c r="AL107" s="23">
        <v>5</v>
      </c>
      <c r="AM107" s="23"/>
      <c r="BI107" s="7"/>
      <c r="BR107" s="34"/>
      <c r="BU107" s="21"/>
      <c r="BY107" s="20">
        <v>330</v>
      </c>
      <c r="BZ107" s="20">
        <v>60</v>
      </c>
      <c r="CL107">
        <v>1423</v>
      </c>
      <c r="CM107" s="2" t="s">
        <v>484</v>
      </c>
      <c r="CN107" t="s">
        <v>1039</v>
      </c>
    </row>
    <row r="108" spans="1:91" ht="12.75">
      <c r="A108" s="18">
        <v>1423</v>
      </c>
      <c r="B108" s="14" t="s">
        <v>1077</v>
      </c>
      <c r="C108" s="14" t="s">
        <v>559</v>
      </c>
      <c r="D108" s="14" t="s">
        <v>260</v>
      </c>
      <c r="E108" s="14" t="s">
        <v>269</v>
      </c>
      <c r="F108" s="33" t="s">
        <v>191</v>
      </c>
      <c r="G108" s="2"/>
      <c r="H108" s="2" t="s">
        <v>428</v>
      </c>
      <c r="I108" s="10">
        <v>5.5</v>
      </c>
      <c r="J108" s="23">
        <v>5</v>
      </c>
      <c r="K108" s="2" t="s">
        <v>513</v>
      </c>
      <c r="L108" s="14" t="s">
        <v>326</v>
      </c>
      <c r="M108" s="2" t="s">
        <v>438</v>
      </c>
      <c r="N108" s="14" t="s">
        <v>408</v>
      </c>
      <c r="O108" s="14" t="s">
        <v>1067</v>
      </c>
      <c r="P108" s="2" t="s">
        <v>1494</v>
      </c>
      <c r="Q108" s="10">
        <v>5.5</v>
      </c>
      <c r="R108" s="10"/>
      <c r="S108" s="10"/>
      <c r="T108" s="9"/>
      <c r="U108" s="9"/>
      <c r="V108" s="9"/>
      <c r="W108" s="45">
        <v>330</v>
      </c>
      <c r="X108" s="45">
        <v>60</v>
      </c>
      <c r="Z108" s="6">
        <v>5</v>
      </c>
      <c r="AD108" s="45"/>
      <c r="AH108" s="23">
        <v>27.5</v>
      </c>
      <c r="AI108">
        <v>5</v>
      </c>
      <c r="AJ108">
        <v>0</v>
      </c>
      <c r="AK108">
        <v>0</v>
      </c>
      <c r="AL108" s="23">
        <v>5</v>
      </c>
      <c r="AM108" s="23"/>
      <c r="BI108" s="7"/>
      <c r="BR108" s="34"/>
      <c r="BU108" s="21"/>
      <c r="BY108" s="20">
        <v>330</v>
      </c>
      <c r="BZ108" s="20">
        <v>60</v>
      </c>
      <c r="CL108">
        <v>1423</v>
      </c>
      <c r="CM108" s="2" t="s">
        <v>438</v>
      </c>
    </row>
    <row r="109" spans="1:91" ht="12.75">
      <c r="A109" s="18">
        <v>1423</v>
      </c>
      <c r="B109" s="14" t="s">
        <v>1077</v>
      </c>
      <c r="C109" s="14" t="s">
        <v>559</v>
      </c>
      <c r="D109" s="14" t="s">
        <v>260</v>
      </c>
      <c r="E109" s="14" t="s">
        <v>269</v>
      </c>
      <c r="F109" s="33" t="s">
        <v>192</v>
      </c>
      <c r="G109" s="2"/>
      <c r="H109" s="2" t="s">
        <v>428</v>
      </c>
      <c r="I109" s="10">
        <v>3</v>
      </c>
      <c r="J109" s="23">
        <v>5</v>
      </c>
      <c r="K109" s="2" t="s">
        <v>780</v>
      </c>
      <c r="L109" s="14" t="s">
        <v>326</v>
      </c>
      <c r="M109" s="2" t="s">
        <v>483</v>
      </c>
      <c r="N109" s="14" t="s">
        <v>408</v>
      </c>
      <c r="O109" s="14" t="s">
        <v>944</v>
      </c>
      <c r="P109" s="2" t="s">
        <v>567</v>
      </c>
      <c r="Q109" s="10">
        <v>3</v>
      </c>
      <c r="R109" s="10"/>
      <c r="S109" s="10"/>
      <c r="T109" s="9"/>
      <c r="U109" s="9"/>
      <c r="V109" s="9"/>
      <c r="W109" s="45">
        <v>180</v>
      </c>
      <c r="X109" s="45">
        <v>60</v>
      </c>
      <c r="Z109" s="6">
        <v>5</v>
      </c>
      <c r="AD109" s="45"/>
      <c r="AH109" s="23">
        <v>15</v>
      </c>
      <c r="AI109">
        <v>5</v>
      </c>
      <c r="AJ109">
        <v>0</v>
      </c>
      <c r="AK109">
        <v>0</v>
      </c>
      <c r="AL109" s="23">
        <v>5</v>
      </c>
      <c r="AM109" s="23"/>
      <c r="AZ109" s="23">
        <v>5</v>
      </c>
      <c r="BI109" s="7"/>
      <c r="BR109" s="34"/>
      <c r="BU109" s="21"/>
      <c r="BY109" s="20">
        <v>180</v>
      </c>
      <c r="BZ109" s="20">
        <v>60</v>
      </c>
      <c r="CL109">
        <v>1423</v>
      </c>
      <c r="CM109" s="2" t="s">
        <v>483</v>
      </c>
    </row>
    <row r="111" spans="1:92" ht="12.75">
      <c r="A111" s="18">
        <v>1424</v>
      </c>
      <c r="B111" s="14" t="s">
        <v>952</v>
      </c>
      <c r="C111" s="14" t="s">
        <v>558</v>
      </c>
      <c r="D111" s="14" t="s">
        <v>260</v>
      </c>
      <c r="E111" s="14" t="s">
        <v>270</v>
      </c>
      <c r="F111" s="33" t="s">
        <v>193</v>
      </c>
      <c r="G111" s="2">
        <v>1</v>
      </c>
      <c r="H111" s="2" t="s">
        <v>428</v>
      </c>
      <c r="I111" s="10">
        <v>11</v>
      </c>
      <c r="J111" s="23">
        <v>7</v>
      </c>
      <c r="K111" s="2" t="s">
        <v>701</v>
      </c>
      <c r="L111" s="14" t="s">
        <v>326</v>
      </c>
      <c r="M111" s="2" t="s">
        <v>448</v>
      </c>
      <c r="N111" s="14" t="s">
        <v>408</v>
      </c>
      <c r="O111" s="14" t="s">
        <v>944</v>
      </c>
      <c r="P111" s="2" t="s">
        <v>535</v>
      </c>
      <c r="Q111" s="10">
        <v>11</v>
      </c>
      <c r="R111" s="10"/>
      <c r="S111" s="10"/>
      <c r="T111" s="9"/>
      <c r="U111" s="9"/>
      <c r="V111" s="9"/>
      <c r="W111" s="45">
        <v>924</v>
      </c>
      <c r="X111" s="45">
        <v>84</v>
      </c>
      <c r="Y111" s="23">
        <v>50.90909090909091</v>
      </c>
      <c r="Z111" s="6">
        <v>7</v>
      </c>
      <c r="AD111" s="45"/>
      <c r="AH111" s="23">
        <v>77</v>
      </c>
      <c r="AI111">
        <v>7</v>
      </c>
      <c r="AJ111">
        <v>0</v>
      </c>
      <c r="AK111">
        <v>0</v>
      </c>
      <c r="AL111" s="23">
        <v>7</v>
      </c>
      <c r="AM111" s="23">
        <v>4.242424242424242</v>
      </c>
      <c r="AZ111" s="23">
        <v>7</v>
      </c>
      <c r="BU111" s="21"/>
      <c r="BY111" s="20">
        <v>924</v>
      </c>
      <c r="BZ111" s="20">
        <v>84</v>
      </c>
      <c r="CL111">
        <v>1424</v>
      </c>
      <c r="CM111" s="2" t="s">
        <v>448</v>
      </c>
      <c r="CN111" t="s">
        <v>1031</v>
      </c>
    </row>
    <row r="112" spans="1:92" ht="12.75">
      <c r="A112" s="18">
        <v>1424</v>
      </c>
      <c r="B112" s="14" t="s">
        <v>952</v>
      </c>
      <c r="C112" s="14" t="s">
        <v>558</v>
      </c>
      <c r="D112" s="14" t="s">
        <v>260</v>
      </c>
      <c r="E112" s="14" t="s">
        <v>270</v>
      </c>
      <c r="F112" s="33" t="s">
        <v>194</v>
      </c>
      <c r="G112" s="2">
        <v>1</v>
      </c>
      <c r="H112" s="2" t="s">
        <v>428</v>
      </c>
      <c r="I112" s="10">
        <v>11</v>
      </c>
      <c r="J112" s="23">
        <v>7</v>
      </c>
      <c r="K112" s="2" t="s">
        <v>702</v>
      </c>
      <c r="L112" s="14" t="s">
        <v>326</v>
      </c>
      <c r="M112" s="2" t="s">
        <v>458</v>
      </c>
      <c r="N112" s="14" t="s">
        <v>410</v>
      </c>
      <c r="O112" s="14" t="s">
        <v>745</v>
      </c>
      <c r="P112" s="2" t="s">
        <v>534</v>
      </c>
      <c r="Q112" s="10">
        <v>11</v>
      </c>
      <c r="R112" s="10"/>
      <c r="S112" s="10"/>
      <c r="T112" s="9"/>
      <c r="U112" s="9"/>
      <c r="V112" s="9"/>
      <c r="W112" s="45">
        <v>924</v>
      </c>
      <c r="X112" s="45">
        <v>84</v>
      </c>
      <c r="Y112" s="23">
        <v>50.90909090909091</v>
      </c>
      <c r="Z112" s="6">
        <v>7</v>
      </c>
      <c r="AD112" s="45"/>
      <c r="AH112" s="23">
        <v>77</v>
      </c>
      <c r="AI112">
        <v>7</v>
      </c>
      <c r="AJ112">
        <v>0</v>
      </c>
      <c r="AK112">
        <v>0</v>
      </c>
      <c r="AL112" s="23">
        <v>7</v>
      </c>
      <c r="AM112" s="23">
        <v>4.242424242424242</v>
      </c>
      <c r="BA112" s="7"/>
      <c r="BB112" s="19"/>
      <c r="BR112" s="34"/>
      <c r="BU112" s="21"/>
      <c r="BY112" s="20">
        <v>924</v>
      </c>
      <c r="BZ112" s="20">
        <v>84</v>
      </c>
      <c r="CL112">
        <v>1424</v>
      </c>
      <c r="CM112" s="2" t="s">
        <v>458</v>
      </c>
      <c r="CN112" t="s">
        <v>1031</v>
      </c>
    </row>
    <row r="113" spans="1:92" ht="12.75">
      <c r="A113" s="18">
        <v>1424</v>
      </c>
      <c r="B113" s="14" t="s">
        <v>952</v>
      </c>
      <c r="C113" s="14" t="s">
        <v>558</v>
      </c>
      <c r="D113" s="14" t="s">
        <v>260</v>
      </c>
      <c r="E113" s="14" t="s">
        <v>270</v>
      </c>
      <c r="F113" s="33" t="s">
        <v>195</v>
      </c>
      <c r="G113" s="2">
        <v>1</v>
      </c>
      <c r="H113" s="2" t="s">
        <v>428</v>
      </c>
      <c r="I113" s="10">
        <v>11</v>
      </c>
      <c r="J113" s="23">
        <v>4.2</v>
      </c>
      <c r="K113" s="2" t="s">
        <v>729</v>
      </c>
      <c r="L113" s="14" t="s">
        <v>326</v>
      </c>
      <c r="M113" s="2" t="s">
        <v>469</v>
      </c>
      <c r="N113" s="14" t="s">
        <v>410</v>
      </c>
      <c r="O113" s="14" t="s">
        <v>1460</v>
      </c>
      <c r="P113" s="2" t="s">
        <v>1499</v>
      </c>
      <c r="Q113" s="10">
        <v>11</v>
      </c>
      <c r="R113" s="10"/>
      <c r="S113" s="10"/>
      <c r="T113" s="9"/>
      <c r="U113" s="9"/>
      <c r="V113" s="9"/>
      <c r="W113" s="45">
        <v>554.4000000000001</v>
      </c>
      <c r="X113" s="45">
        <v>50.400000000000006</v>
      </c>
      <c r="Y113" s="23">
        <v>28.000000000000004</v>
      </c>
      <c r="Z113" s="6">
        <v>4.2</v>
      </c>
      <c r="AD113" s="45"/>
      <c r="AH113" s="23">
        <v>46.2</v>
      </c>
      <c r="AI113">
        <v>4</v>
      </c>
      <c r="AJ113">
        <v>4</v>
      </c>
      <c r="AK113">
        <v>0</v>
      </c>
      <c r="AL113" s="23">
        <v>4.2</v>
      </c>
      <c r="AM113" s="23">
        <v>2.3333333333333335</v>
      </c>
      <c r="BA113" s="19"/>
      <c r="BB113" s="7"/>
      <c r="BR113" s="34"/>
      <c r="BU113" s="21"/>
      <c r="BY113" s="20">
        <v>554.4000000000001</v>
      </c>
      <c r="BZ113" s="20">
        <v>50.400000000000006</v>
      </c>
      <c r="CL113">
        <v>1424</v>
      </c>
      <c r="CM113" s="2" t="s">
        <v>469</v>
      </c>
      <c r="CN113" t="s">
        <v>1035</v>
      </c>
    </row>
    <row r="114" spans="1:91" ht="12.75">
      <c r="A114" s="18">
        <v>1424</v>
      </c>
      <c r="B114" s="14" t="s">
        <v>952</v>
      </c>
      <c r="C114" s="14" t="s">
        <v>558</v>
      </c>
      <c r="D114" s="14" t="s">
        <v>260</v>
      </c>
      <c r="E114" s="14" t="s">
        <v>270</v>
      </c>
      <c r="F114" s="33" t="s">
        <v>198</v>
      </c>
      <c r="G114" s="2">
        <v>1</v>
      </c>
      <c r="H114" s="2" t="s">
        <v>428</v>
      </c>
      <c r="I114" s="10">
        <v>1</v>
      </c>
      <c r="J114" s="23">
        <v>3.5</v>
      </c>
      <c r="K114" s="2" t="s">
        <v>511</v>
      </c>
      <c r="L114" s="14" t="s">
        <v>326</v>
      </c>
      <c r="M114" s="2" t="s">
        <v>437</v>
      </c>
      <c r="N114" s="14" t="s">
        <v>410</v>
      </c>
      <c r="O114" s="14" t="s">
        <v>347</v>
      </c>
      <c r="P114" s="2" t="s">
        <v>1311</v>
      </c>
      <c r="Q114" s="10">
        <v>1</v>
      </c>
      <c r="R114" s="10"/>
      <c r="S114" s="10"/>
      <c r="T114" s="9"/>
      <c r="U114" s="9"/>
      <c r="V114" s="9"/>
      <c r="W114" s="45">
        <v>42</v>
      </c>
      <c r="X114" s="45">
        <v>42</v>
      </c>
      <c r="Y114" s="23"/>
      <c r="Z114" s="6">
        <v>3.5</v>
      </c>
      <c r="AD114" s="45"/>
      <c r="AE114">
        <v>3</v>
      </c>
      <c r="AF114">
        <v>10</v>
      </c>
      <c r="AG114">
        <v>0</v>
      </c>
      <c r="AH114" s="23">
        <v>3.5</v>
      </c>
      <c r="AI114">
        <v>3</v>
      </c>
      <c r="AJ114">
        <v>10</v>
      </c>
      <c r="AK114">
        <v>0</v>
      </c>
      <c r="AL114" s="23">
        <v>3.5</v>
      </c>
      <c r="AM114" s="23"/>
      <c r="BD114" s="23">
        <v>3.5</v>
      </c>
      <c r="BR114" s="34"/>
      <c r="BU114" s="21"/>
      <c r="BY114" s="20">
        <v>42</v>
      </c>
      <c r="BZ114" s="20">
        <v>42</v>
      </c>
      <c r="CL114">
        <v>1424</v>
      </c>
      <c r="CM114" s="2" t="s">
        <v>437</v>
      </c>
    </row>
    <row r="115" spans="1:91" ht="12.75">
      <c r="A115" s="18">
        <v>1424</v>
      </c>
      <c r="B115" s="14" t="s">
        <v>952</v>
      </c>
      <c r="C115" s="14" t="s">
        <v>558</v>
      </c>
      <c r="D115" s="14" t="s">
        <v>260</v>
      </c>
      <c r="E115" s="14" t="s">
        <v>270</v>
      </c>
      <c r="F115" s="33" t="s">
        <v>199</v>
      </c>
      <c r="G115" s="2">
        <v>1</v>
      </c>
      <c r="H115" s="2" t="s">
        <v>428</v>
      </c>
      <c r="I115" s="10">
        <v>1</v>
      </c>
      <c r="J115" s="23">
        <v>3</v>
      </c>
      <c r="K115" s="2" t="s">
        <v>511</v>
      </c>
      <c r="L115" s="14" t="s">
        <v>326</v>
      </c>
      <c r="M115" s="2" t="s">
        <v>437</v>
      </c>
      <c r="N115" s="14" t="s">
        <v>410</v>
      </c>
      <c r="O115" s="14" t="s">
        <v>347</v>
      </c>
      <c r="P115" s="2" t="s">
        <v>1311</v>
      </c>
      <c r="Q115" s="10">
        <v>1</v>
      </c>
      <c r="R115" s="10"/>
      <c r="S115" s="10"/>
      <c r="T115" s="9"/>
      <c r="U115" s="9"/>
      <c r="V115" s="9"/>
      <c r="W115" s="45">
        <v>36</v>
      </c>
      <c r="X115" s="45">
        <v>36</v>
      </c>
      <c r="Y115" s="23"/>
      <c r="Z115" s="6">
        <v>3</v>
      </c>
      <c r="AD115" s="45"/>
      <c r="AE115">
        <v>3</v>
      </c>
      <c r="AF115">
        <v>0</v>
      </c>
      <c r="AG115">
        <v>0</v>
      </c>
      <c r="AH115" s="23">
        <v>3</v>
      </c>
      <c r="AI115">
        <v>3</v>
      </c>
      <c r="AJ115">
        <v>0</v>
      </c>
      <c r="AK115">
        <v>0</v>
      </c>
      <c r="AL115" s="23">
        <v>3</v>
      </c>
      <c r="AM115" s="23"/>
      <c r="BD115" s="23">
        <v>3</v>
      </c>
      <c r="BI115" s="7"/>
      <c r="BR115" s="34"/>
      <c r="BU115" s="21"/>
      <c r="BY115" s="20">
        <v>36</v>
      </c>
      <c r="BZ115" s="20">
        <v>36</v>
      </c>
      <c r="CL115">
        <v>1424</v>
      </c>
      <c r="CM115" s="2" t="s">
        <v>437</v>
      </c>
    </row>
    <row r="116" spans="1:91" ht="12.75">
      <c r="A116" s="18">
        <v>1424</v>
      </c>
      <c r="B116" s="14" t="s">
        <v>952</v>
      </c>
      <c r="C116" s="14" t="s">
        <v>558</v>
      </c>
      <c r="D116" s="14" t="s">
        <v>260</v>
      </c>
      <c r="E116" s="14" t="s">
        <v>270</v>
      </c>
      <c r="F116" s="33" t="s">
        <v>200</v>
      </c>
      <c r="G116" s="2">
        <v>1</v>
      </c>
      <c r="H116" s="2" t="s">
        <v>428</v>
      </c>
      <c r="I116" s="10">
        <v>1</v>
      </c>
      <c r="J116" s="23">
        <v>3.55</v>
      </c>
      <c r="K116" s="2" t="s">
        <v>526</v>
      </c>
      <c r="L116" s="14" t="s">
        <v>326</v>
      </c>
      <c r="M116" s="2" t="s">
        <v>477</v>
      </c>
      <c r="N116" s="14" t="s">
        <v>410</v>
      </c>
      <c r="O116" s="14" t="s">
        <v>755</v>
      </c>
      <c r="P116" s="2" t="s">
        <v>634</v>
      </c>
      <c r="Q116" s="10">
        <v>1</v>
      </c>
      <c r="R116" s="10"/>
      <c r="S116" s="10"/>
      <c r="T116" s="9"/>
      <c r="U116" s="9"/>
      <c r="V116" s="9"/>
      <c r="W116" s="45">
        <v>42.599999999999994</v>
      </c>
      <c r="X116" s="45">
        <v>42.599999999999994</v>
      </c>
      <c r="Y116" s="23"/>
      <c r="Z116" s="6">
        <v>3.55</v>
      </c>
      <c r="AD116" s="45"/>
      <c r="AE116">
        <v>3</v>
      </c>
      <c r="AF116">
        <v>11</v>
      </c>
      <c r="AG116">
        <v>0</v>
      </c>
      <c r="AH116" s="23">
        <v>3.55</v>
      </c>
      <c r="AI116">
        <v>3</v>
      </c>
      <c r="AJ116">
        <v>11</v>
      </c>
      <c r="AK116">
        <v>0</v>
      </c>
      <c r="AL116" s="23">
        <v>3.55</v>
      </c>
      <c r="AM116" s="23"/>
      <c r="AZ116" s="23">
        <v>3.55</v>
      </c>
      <c r="BI116" s="7"/>
      <c r="BR116" s="34"/>
      <c r="BU116" s="21"/>
      <c r="BY116" s="20">
        <v>42.599999999999994</v>
      </c>
      <c r="BZ116" s="20">
        <v>42.599999999999994</v>
      </c>
      <c r="CL116">
        <v>1424</v>
      </c>
      <c r="CM116" s="2" t="s">
        <v>477</v>
      </c>
    </row>
    <row r="118" spans="1:91" ht="12.75">
      <c r="A118" s="18">
        <v>1424</v>
      </c>
      <c r="B118" s="14" t="s">
        <v>952</v>
      </c>
      <c r="C118" s="14" t="s">
        <v>558</v>
      </c>
      <c r="D118" s="14" t="s">
        <v>260</v>
      </c>
      <c r="E118" s="14" t="s">
        <v>270</v>
      </c>
      <c r="F118" s="33" t="s">
        <v>201</v>
      </c>
      <c r="G118" s="2">
        <v>2</v>
      </c>
      <c r="H118" s="2" t="s">
        <v>428</v>
      </c>
      <c r="I118" s="10">
        <v>1</v>
      </c>
      <c r="J118" s="23">
        <v>3.6</v>
      </c>
      <c r="K118" t="s">
        <v>375</v>
      </c>
      <c r="L118" s="14" t="s">
        <v>326</v>
      </c>
      <c r="M118" s="2" t="s">
        <v>432</v>
      </c>
      <c r="N118" s="14" t="s">
        <v>410</v>
      </c>
      <c r="O118" s="14" t="s">
        <v>327</v>
      </c>
      <c r="P118" s="2" t="s">
        <v>1365</v>
      </c>
      <c r="Q118" s="10">
        <v>1</v>
      </c>
      <c r="R118" s="10"/>
      <c r="S118" s="10"/>
      <c r="T118" s="9"/>
      <c r="U118" s="9"/>
      <c r="V118" s="9"/>
      <c r="W118" s="45">
        <v>43.2</v>
      </c>
      <c r="X118" s="45">
        <v>43.2</v>
      </c>
      <c r="Y118" s="23"/>
      <c r="Z118" s="6">
        <v>3.6</v>
      </c>
      <c r="AD118" s="45"/>
      <c r="AE118">
        <v>3</v>
      </c>
      <c r="AF118">
        <v>12</v>
      </c>
      <c r="AG118">
        <v>0</v>
      </c>
      <c r="AH118" s="23">
        <v>3.6</v>
      </c>
      <c r="AI118">
        <v>3</v>
      </c>
      <c r="AJ118">
        <v>12</v>
      </c>
      <c r="AK118">
        <v>0</v>
      </c>
      <c r="AL118" s="23">
        <v>3.6</v>
      </c>
      <c r="AM118" s="23"/>
      <c r="AX118" s="7"/>
      <c r="AY118" s="7"/>
      <c r="AZ118" s="23"/>
      <c r="BF118" s="7"/>
      <c r="BG118" s="23">
        <v>3.6</v>
      </c>
      <c r="BH118" s="19"/>
      <c r="BR118" s="34"/>
      <c r="BU118" s="21"/>
      <c r="BY118" s="20">
        <v>43.2</v>
      </c>
      <c r="BZ118" s="20">
        <v>43.2</v>
      </c>
      <c r="CL118">
        <v>1424</v>
      </c>
      <c r="CM118" s="2" t="s">
        <v>432</v>
      </c>
    </row>
    <row r="119" spans="1:91" ht="12.75">
      <c r="A119" s="18">
        <v>1424</v>
      </c>
      <c r="B119" s="14" t="s">
        <v>952</v>
      </c>
      <c r="C119" s="14" t="s">
        <v>558</v>
      </c>
      <c r="D119" s="14" t="s">
        <v>260</v>
      </c>
      <c r="E119" s="14" t="s">
        <v>270</v>
      </c>
      <c r="F119" s="33" t="s">
        <v>202</v>
      </c>
      <c r="G119" s="2">
        <v>2</v>
      </c>
      <c r="H119" s="2" t="s">
        <v>428</v>
      </c>
      <c r="I119" s="10">
        <v>1</v>
      </c>
      <c r="J119" s="23">
        <v>3.55</v>
      </c>
      <c r="K119" t="s">
        <v>391</v>
      </c>
      <c r="L119" s="14" t="s">
        <v>326</v>
      </c>
      <c r="M119" s="2" t="s">
        <v>432</v>
      </c>
      <c r="N119" s="14" t="s">
        <v>410</v>
      </c>
      <c r="O119" s="14" t="s">
        <v>327</v>
      </c>
      <c r="P119" s="2" t="s">
        <v>1478</v>
      </c>
      <c r="Q119" s="10">
        <v>1</v>
      </c>
      <c r="R119" s="10"/>
      <c r="S119" s="10"/>
      <c r="T119" s="9"/>
      <c r="U119" s="9"/>
      <c r="V119" s="9"/>
      <c r="W119" s="45">
        <v>42.599999999999994</v>
      </c>
      <c r="X119" s="45">
        <v>42.599999999999994</v>
      </c>
      <c r="Y119" s="23"/>
      <c r="Z119" s="6">
        <v>3.55</v>
      </c>
      <c r="AD119" s="45"/>
      <c r="AE119">
        <v>3</v>
      </c>
      <c r="AF119">
        <v>11</v>
      </c>
      <c r="AG119">
        <v>0</v>
      </c>
      <c r="AH119" s="23">
        <v>3.55</v>
      </c>
      <c r="AI119">
        <v>3</v>
      </c>
      <c r="AJ119">
        <v>11</v>
      </c>
      <c r="AK119">
        <v>0</v>
      </c>
      <c r="AL119" s="23">
        <v>3.55</v>
      </c>
      <c r="AM119" s="23"/>
      <c r="AX119" s="7"/>
      <c r="AY119" s="7"/>
      <c r="BD119" s="23"/>
      <c r="BF119" s="7"/>
      <c r="BG119" s="19"/>
      <c r="BH119" s="19"/>
      <c r="BI119" s="23">
        <v>3.55</v>
      </c>
      <c r="BR119" s="34"/>
      <c r="BU119" s="21"/>
      <c r="BY119" s="20">
        <v>42.599999999999994</v>
      </c>
      <c r="BZ119" s="20">
        <v>42.599999999999994</v>
      </c>
      <c r="CL119">
        <v>1424</v>
      </c>
      <c r="CM119" s="2" t="s">
        <v>432</v>
      </c>
    </row>
    <row r="120" spans="1:91" ht="12.75">
      <c r="A120" s="18">
        <v>1424</v>
      </c>
      <c r="B120" s="14" t="s">
        <v>952</v>
      </c>
      <c r="C120" s="14" t="s">
        <v>558</v>
      </c>
      <c r="D120" s="14" t="s">
        <v>260</v>
      </c>
      <c r="E120" s="14" t="s">
        <v>270</v>
      </c>
      <c r="F120" s="33" t="s">
        <v>204</v>
      </c>
      <c r="G120" s="2">
        <v>2</v>
      </c>
      <c r="H120" s="2" t="s">
        <v>428</v>
      </c>
      <c r="I120" s="10">
        <v>1</v>
      </c>
      <c r="J120" s="23">
        <v>1.7</v>
      </c>
      <c r="K120" t="s">
        <v>377</v>
      </c>
      <c r="L120" s="14" t="s">
        <v>326</v>
      </c>
      <c r="M120" s="2" t="s">
        <v>435</v>
      </c>
      <c r="N120" s="14" t="s">
        <v>408</v>
      </c>
      <c r="O120" s="14" t="s">
        <v>334</v>
      </c>
      <c r="P120" s="2" t="s">
        <v>1467</v>
      </c>
      <c r="Q120" s="10">
        <v>1</v>
      </c>
      <c r="R120" s="10"/>
      <c r="S120" s="10"/>
      <c r="T120" s="9"/>
      <c r="U120" s="9"/>
      <c r="V120" s="9"/>
      <c r="W120" s="45">
        <v>20.4</v>
      </c>
      <c r="X120" s="45">
        <v>20.4</v>
      </c>
      <c r="Y120" s="23"/>
      <c r="Z120" s="6">
        <v>1.7</v>
      </c>
      <c r="AD120" s="45"/>
      <c r="AE120">
        <v>1</v>
      </c>
      <c r="AF120">
        <v>14</v>
      </c>
      <c r="AG120">
        <v>0</v>
      </c>
      <c r="AH120" s="23">
        <v>1.7</v>
      </c>
      <c r="AI120">
        <v>1</v>
      </c>
      <c r="AJ120">
        <v>14</v>
      </c>
      <c r="AK120">
        <v>0</v>
      </c>
      <c r="AL120" s="23">
        <v>1.7</v>
      </c>
      <c r="AM120" s="23"/>
      <c r="AX120" s="7"/>
      <c r="AY120" s="7"/>
      <c r="BF120" s="7"/>
      <c r="BG120" s="19"/>
      <c r="BH120" s="19"/>
      <c r="BI120" s="23">
        <v>1.7</v>
      </c>
      <c r="BR120" s="34"/>
      <c r="BU120" s="21"/>
      <c r="BY120" s="20">
        <v>20.4</v>
      </c>
      <c r="BZ120" s="20">
        <v>20.4</v>
      </c>
      <c r="CL120">
        <v>1424</v>
      </c>
      <c r="CM120" s="2" t="s">
        <v>435</v>
      </c>
    </row>
    <row r="121" spans="1:91" ht="12.75">
      <c r="A121" s="18">
        <v>1424</v>
      </c>
      <c r="B121" s="14" t="s">
        <v>952</v>
      </c>
      <c r="C121" s="14" t="s">
        <v>558</v>
      </c>
      <c r="D121" s="14" t="s">
        <v>260</v>
      </c>
      <c r="E121" s="14" t="s">
        <v>270</v>
      </c>
      <c r="F121" s="33" t="s">
        <v>205</v>
      </c>
      <c r="G121" s="2">
        <v>2</v>
      </c>
      <c r="H121" s="2" t="s">
        <v>428</v>
      </c>
      <c r="I121" s="10">
        <v>1</v>
      </c>
      <c r="J121" s="23">
        <v>1.7</v>
      </c>
      <c r="K121" t="s">
        <v>375</v>
      </c>
      <c r="L121" s="14" t="s">
        <v>326</v>
      </c>
      <c r="M121" s="2" t="s">
        <v>432</v>
      </c>
      <c r="N121" s="14" t="s">
        <v>410</v>
      </c>
      <c r="O121" s="14" t="s">
        <v>327</v>
      </c>
      <c r="P121" s="2" t="s">
        <v>1468</v>
      </c>
      <c r="Q121" s="10">
        <v>1</v>
      </c>
      <c r="R121" s="10"/>
      <c r="S121" s="10"/>
      <c r="T121" s="9"/>
      <c r="U121" s="9"/>
      <c r="V121" s="9"/>
      <c r="W121" s="45">
        <v>20.4</v>
      </c>
      <c r="X121" s="45">
        <v>20.4</v>
      </c>
      <c r="Y121" s="23"/>
      <c r="Z121" s="6">
        <v>1.7</v>
      </c>
      <c r="AD121" s="45"/>
      <c r="AE121">
        <v>1</v>
      </c>
      <c r="AF121">
        <v>14</v>
      </c>
      <c r="AG121">
        <v>0</v>
      </c>
      <c r="AH121" s="23">
        <v>1.7</v>
      </c>
      <c r="AI121">
        <v>1</v>
      </c>
      <c r="AJ121">
        <v>14</v>
      </c>
      <c r="AK121">
        <v>0</v>
      </c>
      <c r="AL121" s="23">
        <v>1.7</v>
      </c>
      <c r="AM121" s="23"/>
      <c r="AX121" s="7"/>
      <c r="AY121" s="7"/>
      <c r="BF121" s="7"/>
      <c r="BG121" s="19"/>
      <c r="BH121" s="19"/>
      <c r="BI121" s="23">
        <v>1.7</v>
      </c>
      <c r="BR121" s="34"/>
      <c r="BU121" s="21"/>
      <c r="BY121" s="20">
        <v>20.4</v>
      </c>
      <c r="BZ121" s="20">
        <v>20.4</v>
      </c>
      <c r="CL121">
        <v>1424</v>
      </c>
      <c r="CM121" s="2" t="s">
        <v>432</v>
      </c>
    </row>
    <row r="122" spans="1:92" ht="12.75">
      <c r="A122" s="18">
        <v>1424</v>
      </c>
      <c r="B122" s="14" t="s">
        <v>952</v>
      </c>
      <c r="C122" s="14" t="s">
        <v>558</v>
      </c>
      <c r="D122" s="14" t="s">
        <v>260</v>
      </c>
      <c r="E122" s="14" t="s">
        <v>270</v>
      </c>
      <c r="F122" s="33" t="s">
        <v>206</v>
      </c>
      <c r="G122" s="2">
        <v>2</v>
      </c>
      <c r="H122" s="2" t="s">
        <v>502</v>
      </c>
      <c r="I122" s="10">
        <v>1</v>
      </c>
      <c r="J122" s="23">
        <v>1.925</v>
      </c>
      <c r="K122" t="s">
        <v>507</v>
      </c>
      <c r="L122" s="14" t="s">
        <v>326</v>
      </c>
      <c r="M122" s="2" t="s">
        <v>1201</v>
      </c>
      <c r="N122" s="14" t="s">
        <v>411</v>
      </c>
      <c r="O122" s="14" t="s">
        <v>1177</v>
      </c>
      <c r="P122" s="2" t="s">
        <v>810</v>
      </c>
      <c r="Q122" s="10">
        <v>1</v>
      </c>
      <c r="R122" s="10"/>
      <c r="S122" s="10"/>
      <c r="T122" s="9"/>
      <c r="U122" s="9"/>
      <c r="V122" s="9"/>
      <c r="W122" s="45">
        <v>23.1</v>
      </c>
      <c r="X122" s="45">
        <v>23.1</v>
      </c>
      <c r="Y122" s="23"/>
      <c r="Z122" s="6">
        <v>1.925</v>
      </c>
      <c r="AD122" s="45"/>
      <c r="AE122">
        <v>1</v>
      </c>
      <c r="AF122">
        <v>18</v>
      </c>
      <c r="AG122">
        <v>6</v>
      </c>
      <c r="AH122" s="23">
        <v>1.925</v>
      </c>
      <c r="AI122">
        <v>1</v>
      </c>
      <c r="AJ122">
        <v>18</v>
      </c>
      <c r="AK122">
        <v>6</v>
      </c>
      <c r="AL122" s="23">
        <v>1.925</v>
      </c>
      <c r="AM122" s="23"/>
      <c r="AW122" s="23"/>
      <c r="AX122" s="7"/>
      <c r="AY122" s="7"/>
      <c r="BA122" s="23"/>
      <c r="BF122" s="7"/>
      <c r="BG122" s="19"/>
      <c r="BH122" s="19"/>
      <c r="BI122" s="23">
        <v>1.925</v>
      </c>
      <c r="BM122" s="23"/>
      <c r="BN122" s="23"/>
      <c r="BQ122" s="23"/>
      <c r="BR122" s="34"/>
      <c r="BS122" s="38"/>
      <c r="BU122" s="21"/>
      <c r="BY122" s="20">
        <v>23.1</v>
      </c>
      <c r="BZ122" s="20">
        <v>23.1</v>
      </c>
      <c r="CL122">
        <v>1424</v>
      </c>
      <c r="CM122" s="2" t="s">
        <v>1201</v>
      </c>
      <c r="CN122" t="s">
        <v>1173</v>
      </c>
    </row>
    <row r="123" spans="1:92" ht="12.75">
      <c r="A123" s="18">
        <v>1424</v>
      </c>
      <c r="B123" s="14" t="s">
        <v>952</v>
      </c>
      <c r="C123" s="14" t="s">
        <v>558</v>
      </c>
      <c r="D123" s="14" t="s">
        <v>260</v>
      </c>
      <c r="E123" s="14" t="s">
        <v>270</v>
      </c>
      <c r="F123" s="33" t="s">
        <v>207</v>
      </c>
      <c r="G123" s="2">
        <v>2</v>
      </c>
      <c r="H123" s="2" t="s">
        <v>428</v>
      </c>
      <c r="I123" s="10">
        <v>50</v>
      </c>
      <c r="J123" s="23">
        <v>3.5</v>
      </c>
      <c r="K123" t="s">
        <v>1234</v>
      </c>
      <c r="L123" s="14" t="s">
        <v>326</v>
      </c>
      <c r="M123" s="2" t="s">
        <v>489</v>
      </c>
      <c r="N123" s="14" t="s">
        <v>410</v>
      </c>
      <c r="O123" s="14" t="s">
        <v>1178</v>
      </c>
      <c r="P123" s="2" t="s">
        <v>1301</v>
      </c>
      <c r="Q123" s="10">
        <v>50</v>
      </c>
      <c r="R123" s="10"/>
      <c r="S123" s="10"/>
      <c r="T123" s="9"/>
      <c r="U123" s="9"/>
      <c r="V123" s="9"/>
      <c r="W123" s="45">
        <v>2100</v>
      </c>
      <c r="X123" s="45">
        <v>42</v>
      </c>
      <c r="Y123" s="23"/>
      <c r="Z123" s="6">
        <v>3.5</v>
      </c>
      <c r="AH123" s="23">
        <v>175</v>
      </c>
      <c r="AI123">
        <v>3</v>
      </c>
      <c r="AJ123">
        <v>10</v>
      </c>
      <c r="AK123">
        <v>0</v>
      </c>
      <c r="AL123" s="23">
        <v>3.5</v>
      </c>
      <c r="AM123" s="23"/>
      <c r="AW123" s="23"/>
      <c r="BE123" s="23">
        <v>3.5</v>
      </c>
      <c r="BR123" s="34"/>
      <c r="BU123" s="21"/>
      <c r="BY123" s="20">
        <v>2100</v>
      </c>
      <c r="BZ123" s="20">
        <v>42</v>
      </c>
      <c r="CL123">
        <v>1424</v>
      </c>
      <c r="CM123" s="2" t="s">
        <v>489</v>
      </c>
      <c r="CN123" t="s">
        <v>1052</v>
      </c>
    </row>
    <row r="124" spans="1:91" ht="12.75">
      <c r="A124" s="18">
        <v>1424</v>
      </c>
      <c r="B124" s="14" t="s">
        <v>952</v>
      </c>
      <c r="C124" s="14" t="s">
        <v>558</v>
      </c>
      <c r="D124" s="14" t="s">
        <v>260</v>
      </c>
      <c r="E124" s="14" t="s">
        <v>270</v>
      </c>
      <c r="F124" s="33" t="s">
        <v>196</v>
      </c>
      <c r="G124" s="2">
        <v>2</v>
      </c>
      <c r="H124" s="2" t="s">
        <v>428</v>
      </c>
      <c r="I124" s="10">
        <v>3</v>
      </c>
      <c r="J124" s="23">
        <v>3.55</v>
      </c>
      <c r="K124" t="s">
        <v>1237</v>
      </c>
      <c r="L124" s="14" t="s">
        <v>326</v>
      </c>
      <c r="M124" s="2" t="s">
        <v>490</v>
      </c>
      <c r="N124" s="14" t="s">
        <v>410</v>
      </c>
      <c r="O124" s="14" t="s">
        <v>1177</v>
      </c>
      <c r="P124" s="2" t="s">
        <v>1293</v>
      </c>
      <c r="Q124" s="10">
        <v>3</v>
      </c>
      <c r="R124" s="10"/>
      <c r="S124" s="10"/>
      <c r="T124" s="9"/>
      <c r="U124" s="9"/>
      <c r="V124" s="9"/>
      <c r="W124" s="45">
        <v>127.79999999999998</v>
      </c>
      <c r="X124" s="45">
        <v>42.599999999999994</v>
      </c>
      <c r="Y124" s="23"/>
      <c r="Z124" s="6">
        <v>3.55</v>
      </c>
      <c r="AH124" s="23">
        <v>10.649999999999999</v>
      </c>
      <c r="AI124">
        <v>3</v>
      </c>
      <c r="AJ124">
        <v>11</v>
      </c>
      <c r="AK124">
        <v>0</v>
      </c>
      <c r="AL124" s="23">
        <v>3.55</v>
      </c>
      <c r="AM124" s="23"/>
      <c r="BF124" s="23">
        <v>3.55</v>
      </c>
      <c r="BR124" s="34"/>
      <c r="BU124" s="21"/>
      <c r="BY124" s="20">
        <v>127.79999999999998</v>
      </c>
      <c r="BZ124" s="20">
        <v>42.599999999999994</v>
      </c>
      <c r="CL124">
        <v>1424</v>
      </c>
      <c r="CM124" s="2" t="s">
        <v>490</v>
      </c>
    </row>
    <row r="126" spans="1:92" ht="12.75">
      <c r="A126" s="18">
        <v>1424</v>
      </c>
      <c r="B126" s="14" t="s">
        <v>1077</v>
      </c>
      <c r="C126" s="14" t="s">
        <v>558</v>
      </c>
      <c r="D126" s="14" t="s">
        <v>261</v>
      </c>
      <c r="E126" s="14" t="s">
        <v>273</v>
      </c>
      <c r="F126" s="33" t="s">
        <v>208</v>
      </c>
      <c r="G126" s="2"/>
      <c r="H126" s="2" t="s">
        <v>428</v>
      </c>
      <c r="I126" s="10">
        <v>5.5</v>
      </c>
      <c r="J126" s="23">
        <v>5.5</v>
      </c>
      <c r="K126" s="2" t="s">
        <v>781</v>
      </c>
      <c r="L126" s="14" t="s">
        <v>326</v>
      </c>
      <c r="M126" s="2" t="s">
        <v>483</v>
      </c>
      <c r="N126" s="14" t="s">
        <v>408</v>
      </c>
      <c r="O126" s="14" t="s">
        <v>944</v>
      </c>
      <c r="P126" s="2" t="s">
        <v>1494</v>
      </c>
      <c r="Q126" s="10">
        <v>5.5</v>
      </c>
      <c r="R126" s="10"/>
      <c r="S126" s="10"/>
      <c r="T126" s="9"/>
      <c r="U126" s="9"/>
      <c r="V126" s="9"/>
      <c r="W126" s="45">
        <v>363</v>
      </c>
      <c r="X126" s="45">
        <v>66</v>
      </c>
      <c r="Z126" s="6">
        <v>5.5</v>
      </c>
      <c r="AH126" s="23">
        <v>30.25</v>
      </c>
      <c r="AI126">
        <v>5</v>
      </c>
      <c r="AJ126">
        <v>10</v>
      </c>
      <c r="AK126">
        <v>0</v>
      </c>
      <c r="AL126" s="23">
        <v>5.5</v>
      </c>
      <c r="AM126" s="23"/>
      <c r="AZ126" s="23"/>
      <c r="BR126" s="34"/>
      <c r="BU126" s="21"/>
      <c r="BY126" s="20">
        <v>363</v>
      </c>
      <c r="BZ126" s="20">
        <v>66</v>
      </c>
      <c r="CL126">
        <v>1424</v>
      </c>
      <c r="CM126" s="2" t="s">
        <v>483</v>
      </c>
      <c r="CN126" t="s">
        <v>1004</v>
      </c>
    </row>
    <row r="127" spans="1:91" ht="12.75">
      <c r="A127" s="18">
        <v>1424</v>
      </c>
      <c r="B127" s="14" t="s">
        <v>1077</v>
      </c>
      <c r="C127" s="14" t="s">
        <v>558</v>
      </c>
      <c r="D127" s="14" t="s">
        <v>261</v>
      </c>
      <c r="E127" s="14" t="s">
        <v>273</v>
      </c>
      <c r="F127" s="33" t="s">
        <v>209</v>
      </c>
      <c r="G127" s="2"/>
      <c r="H127" s="2" t="s">
        <v>428</v>
      </c>
      <c r="I127" s="10">
        <v>5.5</v>
      </c>
      <c r="J127" s="23">
        <v>5.5</v>
      </c>
      <c r="K127" s="2" t="s">
        <v>663</v>
      </c>
      <c r="L127" s="14" t="s">
        <v>326</v>
      </c>
      <c r="M127" s="2" t="s">
        <v>447</v>
      </c>
      <c r="N127" s="14" t="s">
        <v>410</v>
      </c>
      <c r="O127" s="14" t="s">
        <v>755</v>
      </c>
      <c r="P127" s="2" t="s">
        <v>1494</v>
      </c>
      <c r="Q127" s="10">
        <v>5.5</v>
      </c>
      <c r="R127" s="10"/>
      <c r="S127" s="10"/>
      <c r="T127" s="9"/>
      <c r="U127" s="9"/>
      <c r="V127" s="9"/>
      <c r="W127" s="45">
        <v>363</v>
      </c>
      <c r="X127" s="45">
        <v>66</v>
      </c>
      <c r="Z127" s="6">
        <v>5.5</v>
      </c>
      <c r="AH127" s="23">
        <v>30.25</v>
      </c>
      <c r="AI127">
        <v>5</v>
      </c>
      <c r="AJ127">
        <v>10</v>
      </c>
      <c r="AK127">
        <v>0</v>
      </c>
      <c r="AL127" s="23">
        <v>5.5</v>
      </c>
      <c r="AM127" s="23"/>
      <c r="BD127" s="23"/>
      <c r="BR127" s="34"/>
      <c r="BU127" s="21"/>
      <c r="BY127" s="20">
        <v>363</v>
      </c>
      <c r="BZ127" s="20">
        <v>66</v>
      </c>
      <c r="CL127">
        <v>1424</v>
      </c>
      <c r="CM127" s="2" t="s">
        <v>447</v>
      </c>
    </row>
    <row r="128" spans="1:92" ht="12.75">
      <c r="A128" s="18">
        <v>1424</v>
      </c>
      <c r="B128" s="14" t="s">
        <v>1077</v>
      </c>
      <c r="C128" s="14" t="s">
        <v>558</v>
      </c>
      <c r="D128" s="14" t="s">
        <v>261</v>
      </c>
      <c r="E128" s="14" t="s">
        <v>273</v>
      </c>
      <c r="F128" s="33" t="s">
        <v>210</v>
      </c>
      <c r="G128" s="2"/>
      <c r="H128" s="2" t="s">
        <v>428</v>
      </c>
      <c r="I128" s="10">
        <v>3</v>
      </c>
      <c r="J128" s="23">
        <v>5.5</v>
      </c>
      <c r="K128" s="2" t="s">
        <v>780</v>
      </c>
      <c r="L128" s="14" t="s">
        <v>326</v>
      </c>
      <c r="M128" s="2" t="s">
        <v>483</v>
      </c>
      <c r="N128" s="14" t="s">
        <v>408</v>
      </c>
      <c r="O128" s="14" t="s">
        <v>944</v>
      </c>
      <c r="P128" s="2" t="s">
        <v>1427</v>
      </c>
      <c r="Q128" s="10">
        <v>3</v>
      </c>
      <c r="R128" s="10"/>
      <c r="S128" s="10"/>
      <c r="T128" s="9"/>
      <c r="U128" s="9"/>
      <c r="V128" s="9"/>
      <c r="W128" s="45">
        <v>198</v>
      </c>
      <c r="X128" s="45">
        <v>66</v>
      </c>
      <c r="Y128" s="23"/>
      <c r="Z128" s="6">
        <v>5.5</v>
      </c>
      <c r="AD128" s="45"/>
      <c r="AH128" s="23">
        <v>16.5</v>
      </c>
      <c r="AI128">
        <v>5</v>
      </c>
      <c r="AJ128">
        <v>10</v>
      </c>
      <c r="AK128">
        <v>0</v>
      </c>
      <c r="AL128" s="23">
        <v>5.5</v>
      </c>
      <c r="AM128" s="23"/>
      <c r="AW128" s="7"/>
      <c r="AZ128" s="23"/>
      <c r="BA128" s="23">
        <v>5.5</v>
      </c>
      <c r="BR128" s="34"/>
      <c r="BU128" s="21"/>
      <c r="BY128" s="20">
        <v>198</v>
      </c>
      <c r="BZ128" s="20">
        <v>66</v>
      </c>
      <c r="CL128">
        <v>1424</v>
      </c>
      <c r="CM128" s="2" t="s">
        <v>483</v>
      </c>
      <c r="CN128" t="s">
        <v>1005</v>
      </c>
    </row>
    <row r="130" spans="1:92" ht="12.75">
      <c r="A130" s="18">
        <v>1424</v>
      </c>
      <c r="B130" s="14" t="s">
        <v>952</v>
      </c>
      <c r="C130" s="14" t="s">
        <v>300</v>
      </c>
      <c r="D130" s="14" t="s">
        <v>260</v>
      </c>
      <c r="E130" s="14" t="s">
        <v>264</v>
      </c>
      <c r="F130" s="33" t="s">
        <v>211</v>
      </c>
      <c r="G130" s="2"/>
      <c r="H130" s="2" t="s">
        <v>428</v>
      </c>
      <c r="I130" s="10">
        <v>3</v>
      </c>
      <c r="J130" s="23">
        <v>3.55</v>
      </c>
      <c r="K130" s="2" t="s">
        <v>1216</v>
      </c>
      <c r="L130" s="14" t="s">
        <v>326</v>
      </c>
      <c r="M130" s="2" t="s">
        <v>490</v>
      </c>
      <c r="N130" s="14" t="s">
        <v>410</v>
      </c>
      <c r="O130" s="14" t="s">
        <v>1177</v>
      </c>
      <c r="P130" s="2" t="s">
        <v>1293</v>
      </c>
      <c r="Q130" s="10">
        <v>3</v>
      </c>
      <c r="R130" s="10"/>
      <c r="S130" s="10"/>
      <c r="T130" s="9"/>
      <c r="U130" s="9"/>
      <c r="V130" s="9"/>
      <c r="W130" s="45">
        <v>127.79999999999998</v>
      </c>
      <c r="X130" s="45">
        <v>42.599999999999994</v>
      </c>
      <c r="Y130" s="23"/>
      <c r="Z130" s="6">
        <v>3.55</v>
      </c>
      <c r="AD130" s="45"/>
      <c r="AH130" s="23">
        <v>10.649999999999999</v>
      </c>
      <c r="AI130">
        <v>3</v>
      </c>
      <c r="AJ130">
        <v>11</v>
      </c>
      <c r="AK130">
        <v>0</v>
      </c>
      <c r="AL130" s="23">
        <v>3.55</v>
      </c>
      <c r="AM130" s="23"/>
      <c r="BA130" s="7"/>
      <c r="BB130" s="19"/>
      <c r="BF130" s="23">
        <v>3.55</v>
      </c>
      <c r="BH130" s="23"/>
      <c r="BR130" s="34"/>
      <c r="BU130" s="21"/>
      <c r="BY130" s="20">
        <v>127.79999999999998</v>
      </c>
      <c r="BZ130" s="20">
        <v>42.599999999999994</v>
      </c>
      <c r="CL130">
        <v>1424</v>
      </c>
      <c r="CM130" s="2" t="s">
        <v>490</v>
      </c>
      <c r="CN130" t="s">
        <v>1046</v>
      </c>
    </row>
    <row r="132" spans="1:92" ht="12.75">
      <c r="A132" s="18">
        <v>1425</v>
      </c>
      <c r="B132" s="14" t="s">
        <v>952</v>
      </c>
      <c r="C132" s="14" t="s">
        <v>558</v>
      </c>
      <c r="D132" s="14" t="s">
        <v>261</v>
      </c>
      <c r="E132" s="14" t="s">
        <v>274</v>
      </c>
      <c r="F132" s="33" t="s">
        <v>212</v>
      </c>
      <c r="G132" s="2">
        <v>1</v>
      </c>
      <c r="H132" s="2" t="s">
        <v>428</v>
      </c>
      <c r="I132" s="10">
        <v>11</v>
      </c>
      <c r="J132" s="23">
        <v>7.5</v>
      </c>
      <c r="K132" s="2" t="s">
        <v>703</v>
      </c>
      <c r="L132" s="14" t="s">
        <v>326</v>
      </c>
      <c r="M132" s="2" t="s">
        <v>457</v>
      </c>
      <c r="N132" s="14" t="s">
        <v>408</v>
      </c>
      <c r="O132" s="14" t="s">
        <v>754</v>
      </c>
      <c r="P132" s="2" t="s">
        <v>536</v>
      </c>
      <c r="Q132" s="10">
        <v>11</v>
      </c>
      <c r="R132" s="10"/>
      <c r="S132" s="10"/>
      <c r="T132" s="9"/>
      <c r="U132" s="9"/>
      <c r="V132" s="9"/>
      <c r="W132" s="45">
        <v>990</v>
      </c>
      <c r="X132" s="45">
        <v>90</v>
      </c>
      <c r="Y132" s="23">
        <v>54.54545454545455</v>
      </c>
      <c r="Z132" s="6">
        <v>7.5</v>
      </c>
      <c r="AD132" s="45"/>
      <c r="AH132" s="23">
        <v>82.5</v>
      </c>
      <c r="AI132">
        <v>7</v>
      </c>
      <c r="AJ132">
        <v>10</v>
      </c>
      <c r="AK132">
        <v>0</v>
      </c>
      <c r="AL132" s="23">
        <v>7.5</v>
      </c>
      <c r="AM132" s="23">
        <v>4.545454545454546</v>
      </c>
      <c r="BA132" s="23">
        <v>7.5</v>
      </c>
      <c r="BD132" s="7"/>
      <c r="BI132" s="23"/>
      <c r="BR132" s="34"/>
      <c r="BU132" s="21"/>
      <c r="BY132" s="20">
        <v>990</v>
      </c>
      <c r="BZ132" s="20">
        <v>90</v>
      </c>
      <c r="CL132">
        <v>1425</v>
      </c>
      <c r="CM132" s="2" t="s">
        <v>457</v>
      </c>
      <c r="CN132" t="s">
        <v>1024</v>
      </c>
    </row>
    <row r="133" spans="1:92" ht="12.75">
      <c r="A133" s="18">
        <v>1425</v>
      </c>
      <c r="B133" s="14" t="s">
        <v>952</v>
      </c>
      <c r="C133" s="14" t="s">
        <v>558</v>
      </c>
      <c r="D133" s="14" t="s">
        <v>261</v>
      </c>
      <c r="E133" s="14" t="s">
        <v>274</v>
      </c>
      <c r="F133" s="33" t="s">
        <v>214</v>
      </c>
      <c r="G133" s="2">
        <v>1</v>
      </c>
      <c r="H133" s="2" t="s">
        <v>428</v>
      </c>
      <c r="I133" s="10">
        <v>11</v>
      </c>
      <c r="J133" s="23">
        <v>4.5</v>
      </c>
      <c r="K133" s="2" t="s">
        <v>730</v>
      </c>
      <c r="L133" s="14" t="s">
        <v>326</v>
      </c>
      <c r="M133" s="2" t="s">
        <v>722</v>
      </c>
      <c r="N133" s="14" t="s">
        <v>532</v>
      </c>
      <c r="O133" s="14" t="s">
        <v>1460</v>
      </c>
      <c r="P133" s="2" t="s">
        <v>1499</v>
      </c>
      <c r="Q133" s="10">
        <v>11</v>
      </c>
      <c r="R133" s="10"/>
      <c r="S133" s="10"/>
      <c r="T133" s="9"/>
      <c r="U133" s="9"/>
      <c r="V133" s="9"/>
      <c r="W133" s="45">
        <v>594</v>
      </c>
      <c r="X133" s="45">
        <v>54</v>
      </c>
      <c r="Y133" s="23">
        <v>30</v>
      </c>
      <c r="Z133" s="6">
        <v>4.5</v>
      </c>
      <c r="AD133" s="45"/>
      <c r="AH133" s="23">
        <v>49.5</v>
      </c>
      <c r="AI133">
        <v>4</v>
      </c>
      <c r="AJ133">
        <v>10</v>
      </c>
      <c r="AK133">
        <v>0</v>
      </c>
      <c r="AL133" s="23">
        <v>4.5</v>
      </c>
      <c r="AM133" s="23">
        <v>2.5</v>
      </c>
      <c r="BI133" s="23"/>
      <c r="BR133" s="34"/>
      <c r="BU133" s="21"/>
      <c r="BY133" s="20">
        <v>594</v>
      </c>
      <c r="BZ133" s="20">
        <v>54</v>
      </c>
      <c r="CL133">
        <v>1425</v>
      </c>
      <c r="CM133" s="2" t="s">
        <v>722</v>
      </c>
      <c r="CN133" t="s">
        <v>1174</v>
      </c>
    </row>
    <row r="134" spans="1:92" ht="12.75">
      <c r="A134" s="18">
        <v>1425</v>
      </c>
      <c r="B134" s="14" t="s">
        <v>952</v>
      </c>
      <c r="C134" s="14" t="s">
        <v>558</v>
      </c>
      <c r="D134" s="14" t="s">
        <v>261</v>
      </c>
      <c r="E134" s="14" t="s">
        <v>274</v>
      </c>
      <c r="F134" s="33" t="s">
        <v>218</v>
      </c>
      <c r="G134" s="2">
        <v>1</v>
      </c>
      <c r="H134" s="2" t="s">
        <v>428</v>
      </c>
      <c r="I134" s="10">
        <v>1</v>
      </c>
      <c r="J134" s="23">
        <v>5.2</v>
      </c>
      <c r="K134" s="2" t="s">
        <v>662</v>
      </c>
      <c r="L134" s="14" t="s">
        <v>326</v>
      </c>
      <c r="M134" s="2" t="s">
        <v>447</v>
      </c>
      <c r="N134" s="14" t="s">
        <v>410</v>
      </c>
      <c r="O134" s="14" t="s">
        <v>759</v>
      </c>
      <c r="P134" s="2" t="s">
        <v>567</v>
      </c>
      <c r="Q134" s="10">
        <v>1</v>
      </c>
      <c r="R134" s="10"/>
      <c r="S134" s="10"/>
      <c r="T134" s="9"/>
      <c r="U134" s="9"/>
      <c r="V134" s="9"/>
      <c r="W134" s="45">
        <v>62.400000000000006</v>
      </c>
      <c r="X134" s="45">
        <v>62.400000000000006</v>
      </c>
      <c r="Y134" s="23"/>
      <c r="Z134" s="6">
        <v>5.2</v>
      </c>
      <c r="AD134" s="45"/>
      <c r="AE134">
        <v>5</v>
      </c>
      <c r="AF134">
        <v>4</v>
      </c>
      <c r="AG134">
        <v>0</v>
      </c>
      <c r="AH134" s="23">
        <v>5.2</v>
      </c>
      <c r="AI134">
        <v>5</v>
      </c>
      <c r="AJ134">
        <v>4</v>
      </c>
      <c r="AK134">
        <v>0</v>
      </c>
      <c r="AL134" s="23">
        <v>5.2</v>
      </c>
      <c r="AM134" s="23"/>
      <c r="AY134" s="7"/>
      <c r="AZ134" s="23">
        <v>5.2</v>
      </c>
      <c r="BI134" s="23"/>
      <c r="BR134" s="34"/>
      <c r="BU134" s="21"/>
      <c r="BY134" s="20">
        <v>62.400000000000006</v>
      </c>
      <c r="BZ134" s="20">
        <v>62.400000000000006</v>
      </c>
      <c r="CL134">
        <v>1425</v>
      </c>
      <c r="CM134" s="2" t="s">
        <v>447</v>
      </c>
      <c r="CN134" t="s">
        <v>1020</v>
      </c>
    </row>
    <row r="136" spans="1:92" ht="12.75">
      <c r="A136" s="18">
        <v>1425</v>
      </c>
      <c r="B136" s="14" t="s">
        <v>952</v>
      </c>
      <c r="C136" s="14" t="s">
        <v>558</v>
      </c>
      <c r="D136" s="14" t="s">
        <v>261</v>
      </c>
      <c r="E136" s="14" t="s">
        <v>274</v>
      </c>
      <c r="F136" s="33" t="s">
        <v>219</v>
      </c>
      <c r="G136" s="2">
        <v>2</v>
      </c>
      <c r="H136" s="2" t="s">
        <v>428</v>
      </c>
      <c r="I136" s="10">
        <v>1</v>
      </c>
      <c r="J136" s="23">
        <v>3.8</v>
      </c>
      <c r="K136" s="2" t="s">
        <v>844</v>
      </c>
      <c r="L136" s="14" t="s">
        <v>326</v>
      </c>
      <c r="M136" s="2" t="s">
        <v>476</v>
      </c>
      <c r="N136" s="14" t="s">
        <v>410</v>
      </c>
      <c r="O136" s="14" t="s">
        <v>748</v>
      </c>
      <c r="P136" s="2" t="s">
        <v>287</v>
      </c>
      <c r="Q136" s="10">
        <v>1</v>
      </c>
      <c r="R136" s="10"/>
      <c r="S136" s="10"/>
      <c r="T136" s="9"/>
      <c r="U136" s="9"/>
      <c r="V136" s="9"/>
      <c r="W136" s="45">
        <v>45.599999999999994</v>
      </c>
      <c r="X136" s="45">
        <v>45.599999999999994</v>
      </c>
      <c r="Y136" s="23"/>
      <c r="Z136" s="6">
        <v>3.8</v>
      </c>
      <c r="AD136" s="45"/>
      <c r="AE136">
        <v>3</v>
      </c>
      <c r="AF136">
        <v>16</v>
      </c>
      <c r="AG136">
        <v>0</v>
      </c>
      <c r="AH136" s="23">
        <v>3.8</v>
      </c>
      <c r="AI136">
        <v>3</v>
      </c>
      <c r="AJ136">
        <v>16</v>
      </c>
      <c r="AK136">
        <v>0</v>
      </c>
      <c r="AL136" s="23">
        <v>3.8</v>
      </c>
      <c r="AM136" s="23"/>
      <c r="BD136" s="23">
        <v>3.8</v>
      </c>
      <c r="BE136" s="23"/>
      <c r="BI136" s="7"/>
      <c r="BR136" s="34"/>
      <c r="BU136" s="21"/>
      <c r="BY136" s="20">
        <v>45.599999999999994</v>
      </c>
      <c r="BZ136" s="20">
        <v>45.599999999999994</v>
      </c>
      <c r="CL136">
        <v>1425</v>
      </c>
      <c r="CM136" s="2" t="s">
        <v>476</v>
      </c>
      <c r="CN136" t="s">
        <v>1047</v>
      </c>
    </row>
    <row r="137" spans="1:91" ht="12.75">
      <c r="A137" s="18">
        <v>1425</v>
      </c>
      <c r="B137" s="14" t="s">
        <v>952</v>
      </c>
      <c r="C137" s="14" t="s">
        <v>558</v>
      </c>
      <c r="D137" s="14" t="s">
        <v>261</v>
      </c>
      <c r="E137" s="14" t="s">
        <v>274</v>
      </c>
      <c r="F137" s="33" t="s">
        <v>220</v>
      </c>
      <c r="G137" s="2">
        <v>2</v>
      </c>
      <c r="H137" s="2" t="s">
        <v>428</v>
      </c>
      <c r="I137" s="10">
        <v>1</v>
      </c>
      <c r="J137" s="23">
        <v>3.9</v>
      </c>
      <c r="K137" s="2" t="s">
        <v>375</v>
      </c>
      <c r="L137" s="14" t="s">
        <v>326</v>
      </c>
      <c r="M137" s="2" t="s">
        <v>433</v>
      </c>
      <c r="N137" s="14" t="s">
        <v>410</v>
      </c>
      <c r="O137" s="14" t="s">
        <v>327</v>
      </c>
      <c r="P137" s="2" t="s">
        <v>636</v>
      </c>
      <c r="Q137" s="10">
        <v>1</v>
      </c>
      <c r="R137" s="10"/>
      <c r="S137" s="10"/>
      <c r="T137" s="9"/>
      <c r="U137" s="9"/>
      <c r="V137" s="9"/>
      <c r="W137" s="45">
        <v>46.8</v>
      </c>
      <c r="X137" s="45">
        <v>46.8</v>
      </c>
      <c r="Z137" s="6">
        <v>3.9</v>
      </c>
      <c r="AD137" s="45"/>
      <c r="AE137">
        <v>3</v>
      </c>
      <c r="AF137">
        <v>18</v>
      </c>
      <c r="AG137">
        <v>0</v>
      </c>
      <c r="AH137" s="23">
        <v>3.9</v>
      </c>
      <c r="AI137">
        <v>3</v>
      </c>
      <c r="AJ137">
        <v>18</v>
      </c>
      <c r="AK137">
        <v>0</v>
      </c>
      <c r="AL137" s="23">
        <v>3.9</v>
      </c>
      <c r="AM137" s="23"/>
      <c r="AZ137" s="23">
        <v>3.9</v>
      </c>
      <c r="BR137" s="34"/>
      <c r="BU137" s="21"/>
      <c r="BY137" s="20">
        <v>46.8</v>
      </c>
      <c r="BZ137" s="20">
        <v>46.8</v>
      </c>
      <c r="CL137">
        <v>1425</v>
      </c>
      <c r="CM137" s="2" t="s">
        <v>433</v>
      </c>
    </row>
    <row r="138" spans="1:91" ht="12.75">
      <c r="A138" s="18">
        <v>1425</v>
      </c>
      <c r="B138" s="14" t="s">
        <v>952</v>
      </c>
      <c r="C138" s="14" t="s">
        <v>558</v>
      </c>
      <c r="D138" s="14" t="s">
        <v>261</v>
      </c>
      <c r="E138" s="14" t="s">
        <v>274</v>
      </c>
      <c r="F138" s="33" t="s">
        <v>221</v>
      </c>
      <c r="G138" s="2">
        <v>2</v>
      </c>
      <c r="H138" s="2" t="s">
        <v>428</v>
      </c>
      <c r="I138" s="10">
        <v>1</v>
      </c>
      <c r="J138" s="23">
        <v>3.8</v>
      </c>
      <c r="K138" s="2" t="s">
        <v>1228</v>
      </c>
      <c r="L138" s="14" t="s">
        <v>326</v>
      </c>
      <c r="M138" s="2" t="s">
        <v>490</v>
      </c>
      <c r="N138" s="14" t="s">
        <v>410</v>
      </c>
      <c r="O138" s="14" t="s">
        <v>1177</v>
      </c>
      <c r="P138" s="2" t="s">
        <v>1364</v>
      </c>
      <c r="Q138" s="10">
        <v>1</v>
      </c>
      <c r="R138" s="10"/>
      <c r="S138" s="10"/>
      <c r="T138" s="9"/>
      <c r="U138" s="9"/>
      <c r="V138" s="9"/>
      <c r="W138" s="45">
        <v>45.599999999999994</v>
      </c>
      <c r="X138" s="45">
        <v>45.599999999999994</v>
      </c>
      <c r="Y138" s="23"/>
      <c r="Z138" s="6">
        <v>3.8</v>
      </c>
      <c r="AD138" s="45"/>
      <c r="AE138">
        <v>3</v>
      </c>
      <c r="AF138">
        <v>16</v>
      </c>
      <c r="AG138">
        <v>0</v>
      </c>
      <c r="AH138" s="23">
        <v>3.8</v>
      </c>
      <c r="AI138">
        <v>3</v>
      </c>
      <c r="AJ138">
        <v>16</v>
      </c>
      <c r="AK138">
        <v>0</v>
      </c>
      <c r="AL138" s="23">
        <v>3.8</v>
      </c>
      <c r="AM138" s="23"/>
      <c r="BF138" s="23"/>
      <c r="BG138" s="23">
        <v>3.8</v>
      </c>
      <c r="BI138" s="23">
        <v>3.8</v>
      </c>
      <c r="BR138" s="34"/>
      <c r="BU138" s="21"/>
      <c r="BY138" s="20">
        <v>45.599999999999994</v>
      </c>
      <c r="BZ138" s="20">
        <v>45.599999999999994</v>
      </c>
      <c r="CL138">
        <v>1425</v>
      </c>
      <c r="CM138" s="2" t="s">
        <v>490</v>
      </c>
    </row>
    <row r="139" spans="1:92" ht="12.75">
      <c r="A139" s="18">
        <v>1425</v>
      </c>
      <c r="B139" s="14" t="s">
        <v>952</v>
      </c>
      <c r="C139" s="14" t="s">
        <v>558</v>
      </c>
      <c r="D139" s="14" t="s">
        <v>261</v>
      </c>
      <c r="E139" s="14" t="s">
        <v>274</v>
      </c>
      <c r="F139" s="33" t="s">
        <v>216</v>
      </c>
      <c r="G139" s="2">
        <v>2</v>
      </c>
      <c r="H139" s="2" t="s">
        <v>428</v>
      </c>
      <c r="I139" s="10">
        <v>25</v>
      </c>
      <c r="J139" s="23">
        <v>3.7</v>
      </c>
      <c r="K139" s="2" t="s">
        <v>1124</v>
      </c>
      <c r="L139" s="14" t="s">
        <v>326</v>
      </c>
      <c r="M139" s="2" t="s">
        <v>487</v>
      </c>
      <c r="N139" s="14" t="s">
        <v>410</v>
      </c>
      <c r="O139" s="14" t="s">
        <v>1107</v>
      </c>
      <c r="P139" s="2" t="s">
        <v>1301</v>
      </c>
      <c r="Q139" s="10">
        <v>25</v>
      </c>
      <c r="R139" s="10"/>
      <c r="S139" s="10"/>
      <c r="T139" s="9"/>
      <c r="U139" s="9"/>
      <c r="V139" s="9"/>
      <c r="W139" s="45">
        <v>1110.0000000000002</v>
      </c>
      <c r="X139" s="45">
        <v>44.400000000000006</v>
      </c>
      <c r="Z139" s="6">
        <v>3.7</v>
      </c>
      <c r="AH139" s="23">
        <v>92.5</v>
      </c>
      <c r="AI139">
        <v>3</v>
      </c>
      <c r="AJ139">
        <v>14</v>
      </c>
      <c r="AK139">
        <v>0</v>
      </c>
      <c r="AL139" s="23">
        <v>3.7</v>
      </c>
      <c r="AM139" s="23"/>
      <c r="AZ139" s="23"/>
      <c r="BE139" s="23">
        <v>3.7</v>
      </c>
      <c r="BU139" s="21"/>
      <c r="BY139" s="20">
        <v>1110.0000000000002</v>
      </c>
      <c r="BZ139" s="20">
        <v>44.400000000000006</v>
      </c>
      <c r="CL139">
        <v>1425</v>
      </c>
      <c r="CM139" s="2" t="s">
        <v>487</v>
      </c>
      <c r="CN139" t="s">
        <v>1020</v>
      </c>
    </row>
    <row r="140" spans="1:92" ht="12.75">
      <c r="A140" s="18">
        <v>1425</v>
      </c>
      <c r="B140" s="14" t="s">
        <v>952</v>
      </c>
      <c r="C140" s="14" t="s">
        <v>558</v>
      </c>
      <c r="D140" s="14" t="s">
        <v>261</v>
      </c>
      <c r="E140" s="14" t="s">
        <v>274</v>
      </c>
      <c r="F140" s="33" t="s">
        <v>217</v>
      </c>
      <c r="G140" s="2">
        <v>2</v>
      </c>
      <c r="H140" s="2" t="s">
        <v>428</v>
      </c>
      <c r="I140" s="10">
        <v>25</v>
      </c>
      <c r="J140" s="23">
        <v>3.7</v>
      </c>
      <c r="K140" s="2" t="s">
        <v>1520</v>
      </c>
      <c r="L140" s="14" t="s">
        <v>326</v>
      </c>
      <c r="M140" s="2" t="s">
        <v>498</v>
      </c>
      <c r="N140" s="14" t="s">
        <v>410</v>
      </c>
      <c r="O140" s="14" t="s">
        <v>1460</v>
      </c>
      <c r="P140" s="2" t="s">
        <v>1301</v>
      </c>
      <c r="Q140" s="10">
        <v>25</v>
      </c>
      <c r="R140" s="10"/>
      <c r="S140" s="10"/>
      <c r="T140" s="9"/>
      <c r="U140" s="9"/>
      <c r="V140" s="9"/>
      <c r="W140" s="45">
        <v>1110.0000000000002</v>
      </c>
      <c r="X140" s="45">
        <v>44.400000000000006</v>
      </c>
      <c r="Z140" s="6">
        <v>3.7</v>
      </c>
      <c r="AD140" s="45"/>
      <c r="AH140" s="23">
        <v>92.5</v>
      </c>
      <c r="AI140">
        <v>3</v>
      </c>
      <c r="AJ140">
        <v>14</v>
      </c>
      <c r="AK140">
        <v>0</v>
      </c>
      <c r="AL140" s="23">
        <v>3.7</v>
      </c>
      <c r="AM140" s="23"/>
      <c r="BA140" s="7"/>
      <c r="BB140" s="19"/>
      <c r="BD140" s="23"/>
      <c r="BE140" s="23">
        <v>3.7</v>
      </c>
      <c r="BR140" s="34"/>
      <c r="BU140" s="21"/>
      <c r="BY140" s="20">
        <v>1110.0000000000002</v>
      </c>
      <c r="BZ140" s="20">
        <v>44.400000000000006</v>
      </c>
      <c r="CL140">
        <v>1425</v>
      </c>
      <c r="CM140" s="2" t="s">
        <v>498</v>
      </c>
      <c r="CN140" t="s">
        <v>1020</v>
      </c>
    </row>
    <row r="142" spans="1:92" ht="12.75">
      <c r="A142" s="18">
        <v>1425</v>
      </c>
      <c r="B142" s="14" t="s">
        <v>952</v>
      </c>
      <c r="C142" s="14" t="s">
        <v>300</v>
      </c>
      <c r="D142" s="14" t="s">
        <v>261</v>
      </c>
      <c r="E142" s="14" t="s">
        <v>270</v>
      </c>
      <c r="F142" s="33" t="s">
        <v>226</v>
      </c>
      <c r="G142" s="2"/>
      <c r="H142" s="2" t="s">
        <v>428</v>
      </c>
      <c r="I142" s="10">
        <v>3</v>
      </c>
      <c r="J142" s="23">
        <v>3.7</v>
      </c>
      <c r="K142" s="2" t="s">
        <v>384</v>
      </c>
      <c r="L142" s="14" t="s">
        <v>326</v>
      </c>
      <c r="M142" s="2" t="s">
        <v>432</v>
      </c>
      <c r="N142" s="14" t="s">
        <v>410</v>
      </c>
      <c r="O142" s="14" t="s">
        <v>327</v>
      </c>
      <c r="P142" s="2" t="s">
        <v>1293</v>
      </c>
      <c r="Q142" s="10">
        <v>3</v>
      </c>
      <c r="R142" s="10"/>
      <c r="S142" s="10"/>
      <c r="T142" s="9"/>
      <c r="U142" s="9"/>
      <c r="V142" s="9"/>
      <c r="W142" s="45">
        <v>133.20000000000002</v>
      </c>
      <c r="X142" s="45">
        <v>44.400000000000006</v>
      </c>
      <c r="Y142" s="23"/>
      <c r="Z142" s="6">
        <v>3.7</v>
      </c>
      <c r="AD142" s="45"/>
      <c r="AH142" s="23">
        <v>11.100000000000001</v>
      </c>
      <c r="AI142">
        <v>3</v>
      </c>
      <c r="AJ142">
        <v>14</v>
      </c>
      <c r="AK142">
        <v>0</v>
      </c>
      <c r="AL142" s="23">
        <v>3.7</v>
      </c>
      <c r="AM142" s="23"/>
      <c r="BD142" s="7"/>
      <c r="BF142" s="23">
        <v>3.7</v>
      </c>
      <c r="BR142" s="34"/>
      <c r="BU142" s="21"/>
      <c r="BY142" s="20">
        <v>133.20000000000002</v>
      </c>
      <c r="BZ142" s="20">
        <v>44.400000000000006</v>
      </c>
      <c r="CL142">
        <v>1425</v>
      </c>
      <c r="CM142" s="2" t="s">
        <v>432</v>
      </c>
      <c r="CN142" t="s">
        <v>1044</v>
      </c>
    </row>
    <row r="144" spans="1:92" ht="12.75">
      <c r="A144" s="18">
        <v>1425</v>
      </c>
      <c r="B144" s="14" t="s">
        <v>1077</v>
      </c>
      <c r="C144" s="14" t="s">
        <v>558</v>
      </c>
      <c r="D144" s="14" t="s">
        <v>262</v>
      </c>
      <c r="E144" s="14" t="s">
        <v>265</v>
      </c>
      <c r="F144" s="33" t="s">
        <v>227</v>
      </c>
      <c r="G144" s="2"/>
      <c r="H144" s="2" t="s">
        <v>428</v>
      </c>
      <c r="I144" s="10">
        <v>8</v>
      </c>
      <c r="J144" s="23">
        <v>5.5</v>
      </c>
      <c r="K144" s="2" t="s">
        <v>779</v>
      </c>
      <c r="L144" s="14" t="s">
        <v>326</v>
      </c>
      <c r="M144" s="2" t="s">
        <v>483</v>
      </c>
      <c r="N144" s="14" t="s">
        <v>408</v>
      </c>
      <c r="O144" s="14" t="s">
        <v>944</v>
      </c>
      <c r="P144" s="2" t="s">
        <v>1494</v>
      </c>
      <c r="Q144" s="10">
        <v>8</v>
      </c>
      <c r="R144" s="10"/>
      <c r="S144" s="10"/>
      <c r="T144" s="9"/>
      <c r="U144" s="9"/>
      <c r="V144" s="9"/>
      <c r="W144" s="45">
        <v>528</v>
      </c>
      <c r="X144" s="45">
        <v>66</v>
      </c>
      <c r="Y144" s="23"/>
      <c r="Z144" s="6">
        <v>5.5</v>
      </c>
      <c r="AD144" s="45"/>
      <c r="AH144" s="23">
        <v>44</v>
      </c>
      <c r="AI144">
        <v>5</v>
      </c>
      <c r="AJ144">
        <v>10</v>
      </c>
      <c r="AK144">
        <v>0</v>
      </c>
      <c r="AL144" s="23">
        <v>5.5</v>
      </c>
      <c r="AM144" s="23"/>
      <c r="AW144" s="23"/>
      <c r="AZ144" s="23"/>
      <c r="BI144" s="7"/>
      <c r="BN144" s="23"/>
      <c r="BQ144" s="23"/>
      <c r="BR144" s="34"/>
      <c r="BS144" s="38"/>
      <c r="BU144" s="21"/>
      <c r="BY144" s="20">
        <v>528</v>
      </c>
      <c r="BZ144" s="20">
        <v>66</v>
      </c>
      <c r="CL144">
        <v>1425</v>
      </c>
      <c r="CM144" s="2" t="s">
        <v>483</v>
      </c>
      <c r="CN144" t="s">
        <v>1020</v>
      </c>
    </row>
    <row r="145" spans="1:91" ht="12.75">
      <c r="A145" s="18">
        <v>1425</v>
      </c>
      <c r="B145" s="14" t="s">
        <v>1077</v>
      </c>
      <c r="C145" s="14" t="s">
        <v>558</v>
      </c>
      <c r="D145" s="14" t="s">
        <v>262</v>
      </c>
      <c r="E145" s="14" t="s">
        <v>265</v>
      </c>
      <c r="F145" s="33" t="s">
        <v>228</v>
      </c>
      <c r="G145" s="2"/>
      <c r="H145" s="2" t="s">
        <v>428</v>
      </c>
      <c r="I145" s="10">
        <v>5.5</v>
      </c>
      <c r="J145" s="23">
        <v>5.3</v>
      </c>
      <c r="K145" s="2" t="s">
        <v>510</v>
      </c>
      <c r="L145" s="14" t="s">
        <v>326</v>
      </c>
      <c r="M145" s="2" t="s">
        <v>435</v>
      </c>
      <c r="N145" s="14" t="s">
        <v>408</v>
      </c>
      <c r="O145" s="14" t="s">
        <v>334</v>
      </c>
      <c r="P145" s="2" t="s">
        <v>1494</v>
      </c>
      <c r="Q145" s="10">
        <v>5.5</v>
      </c>
      <c r="R145" s="10"/>
      <c r="S145" s="10"/>
      <c r="T145" s="9"/>
      <c r="U145" s="9"/>
      <c r="V145" s="9"/>
      <c r="W145" s="45">
        <v>349.79999999999995</v>
      </c>
      <c r="X145" s="45">
        <v>63.599999999999994</v>
      </c>
      <c r="Y145" s="23"/>
      <c r="Z145" s="6">
        <v>5.3</v>
      </c>
      <c r="AD145" s="45"/>
      <c r="AH145" s="23">
        <v>29.15</v>
      </c>
      <c r="AI145">
        <v>5</v>
      </c>
      <c r="AJ145">
        <v>6</v>
      </c>
      <c r="AK145">
        <v>0</v>
      </c>
      <c r="AL145" s="23">
        <v>5.3</v>
      </c>
      <c r="AM145" s="23"/>
      <c r="BI145" s="7"/>
      <c r="BR145" s="34"/>
      <c r="BU145" s="21"/>
      <c r="BY145" s="20">
        <v>349.79999999999995</v>
      </c>
      <c r="BZ145" s="20">
        <v>63.599999999999994</v>
      </c>
      <c r="CL145">
        <v>1425</v>
      </c>
      <c r="CM145" s="2" t="s">
        <v>435</v>
      </c>
    </row>
    <row r="146" spans="1:92" ht="12.75">
      <c r="A146" s="18">
        <v>1425</v>
      </c>
      <c r="B146" s="14" t="s">
        <v>1077</v>
      </c>
      <c r="C146" s="14" t="s">
        <v>558</v>
      </c>
      <c r="D146" s="14" t="s">
        <v>262</v>
      </c>
      <c r="E146" s="14" t="s">
        <v>265</v>
      </c>
      <c r="F146" s="33" t="s">
        <v>229</v>
      </c>
      <c r="G146" s="2"/>
      <c r="H146" s="2" t="s">
        <v>428</v>
      </c>
      <c r="I146" s="10">
        <v>2</v>
      </c>
      <c r="J146" s="23">
        <v>5.5</v>
      </c>
      <c r="K146" s="2" t="s">
        <v>778</v>
      </c>
      <c r="L146" s="14" t="s">
        <v>326</v>
      </c>
      <c r="M146" s="2" t="s">
        <v>483</v>
      </c>
      <c r="N146" s="14" t="s">
        <v>408</v>
      </c>
      <c r="O146" s="14" t="s">
        <v>944</v>
      </c>
      <c r="P146" s="2" t="s">
        <v>1427</v>
      </c>
      <c r="Q146" s="10">
        <v>2</v>
      </c>
      <c r="R146" s="10"/>
      <c r="S146" s="10"/>
      <c r="T146" s="9"/>
      <c r="U146" s="9"/>
      <c r="V146" s="9"/>
      <c r="W146" s="45">
        <v>132</v>
      </c>
      <c r="X146" s="45">
        <v>66</v>
      </c>
      <c r="Y146" s="23"/>
      <c r="Z146" s="6">
        <v>5.5</v>
      </c>
      <c r="AD146" s="45"/>
      <c r="AH146" s="23">
        <v>11</v>
      </c>
      <c r="AI146">
        <v>5</v>
      </c>
      <c r="AJ146">
        <v>10</v>
      </c>
      <c r="AK146">
        <v>0</v>
      </c>
      <c r="AL146" s="23">
        <v>5.5</v>
      </c>
      <c r="AM146" s="23"/>
      <c r="BA146" s="23">
        <v>5.5</v>
      </c>
      <c r="BI146" s="7"/>
      <c r="BR146" s="34"/>
      <c r="BU146" s="21"/>
      <c r="BY146" s="20">
        <v>132</v>
      </c>
      <c r="BZ146" s="20">
        <v>66</v>
      </c>
      <c r="CL146">
        <v>1425</v>
      </c>
      <c r="CM146" s="2" t="s">
        <v>483</v>
      </c>
      <c r="CN146" t="s">
        <v>1021</v>
      </c>
    </row>
    <row r="148" spans="1:92" ht="12.75">
      <c r="A148" s="18">
        <v>1426</v>
      </c>
      <c r="B148" s="14" t="s">
        <v>952</v>
      </c>
      <c r="C148" s="14" t="s">
        <v>558</v>
      </c>
      <c r="D148" s="14" t="s">
        <v>262</v>
      </c>
      <c r="E148" s="14" t="s">
        <v>266</v>
      </c>
      <c r="F148" s="33" t="s">
        <v>230</v>
      </c>
      <c r="G148" s="2">
        <v>1</v>
      </c>
      <c r="H148" s="2" t="s">
        <v>428</v>
      </c>
      <c r="I148" s="10">
        <v>11</v>
      </c>
      <c r="J148" s="23">
        <v>7.5</v>
      </c>
      <c r="K148" s="2" t="s">
        <v>710</v>
      </c>
      <c r="L148" s="14" t="s">
        <v>326</v>
      </c>
      <c r="M148" s="2" t="s">
        <v>464</v>
      </c>
      <c r="N148" s="14" t="s">
        <v>408</v>
      </c>
      <c r="O148" s="14" t="s">
        <v>758</v>
      </c>
      <c r="P148" s="2" t="s">
        <v>536</v>
      </c>
      <c r="Q148" s="10">
        <v>11</v>
      </c>
      <c r="R148" s="10"/>
      <c r="S148" s="10"/>
      <c r="T148" s="9"/>
      <c r="U148" s="9"/>
      <c r="V148" s="9"/>
      <c r="W148" s="45">
        <v>990</v>
      </c>
      <c r="X148" s="45">
        <v>90</v>
      </c>
      <c r="Y148" s="23">
        <v>54.54545454545455</v>
      </c>
      <c r="Z148" s="6">
        <v>7.5</v>
      </c>
      <c r="AD148" s="45"/>
      <c r="AH148" s="23">
        <v>82.5</v>
      </c>
      <c r="AI148">
        <v>7</v>
      </c>
      <c r="AJ148">
        <v>10</v>
      </c>
      <c r="AK148">
        <v>0</v>
      </c>
      <c r="AL148" s="23">
        <v>7.5</v>
      </c>
      <c r="AM148" s="23">
        <v>4.545454545454546</v>
      </c>
      <c r="AZ148" s="23"/>
      <c r="BA148" s="23">
        <v>7.5</v>
      </c>
      <c r="BF148" s="7"/>
      <c r="BG148" s="19"/>
      <c r="BH148" s="19"/>
      <c r="BR148" s="34"/>
      <c r="BU148" s="21"/>
      <c r="BY148" s="20">
        <v>990</v>
      </c>
      <c r="BZ148" s="20">
        <v>90</v>
      </c>
      <c r="CL148">
        <v>1426</v>
      </c>
      <c r="CM148" s="2" t="s">
        <v>464</v>
      </c>
      <c r="CN148" t="s">
        <v>1031</v>
      </c>
    </row>
    <row r="149" spans="1:92" ht="12.75">
      <c r="A149" s="18">
        <v>1426</v>
      </c>
      <c r="B149" s="14" t="s">
        <v>952</v>
      </c>
      <c r="C149" s="14" t="s">
        <v>558</v>
      </c>
      <c r="D149" s="14" t="s">
        <v>262</v>
      </c>
      <c r="E149" s="14" t="s">
        <v>266</v>
      </c>
      <c r="F149" s="33" t="s">
        <v>231</v>
      </c>
      <c r="G149" s="2">
        <v>1</v>
      </c>
      <c r="H149" s="2" t="s">
        <v>428</v>
      </c>
      <c r="I149" s="10">
        <v>11</v>
      </c>
      <c r="J149" s="23">
        <v>7.5</v>
      </c>
      <c r="K149" s="2" t="s">
        <v>714</v>
      </c>
      <c r="L149" s="14" t="s">
        <v>326</v>
      </c>
      <c r="M149" s="2" t="s">
        <v>458</v>
      </c>
      <c r="N149" s="14" t="s">
        <v>410</v>
      </c>
      <c r="O149" s="14" t="s">
        <v>745</v>
      </c>
      <c r="P149" s="2" t="s">
        <v>534</v>
      </c>
      <c r="Q149" s="10">
        <v>11</v>
      </c>
      <c r="R149" s="10"/>
      <c r="S149" s="10"/>
      <c r="T149" s="9"/>
      <c r="U149" s="9"/>
      <c r="V149" s="9"/>
      <c r="W149" s="45">
        <v>990</v>
      </c>
      <c r="X149" s="45">
        <v>90</v>
      </c>
      <c r="Y149" s="23">
        <v>54.54545454545455</v>
      </c>
      <c r="Z149" s="6">
        <v>7.5</v>
      </c>
      <c r="AD149" s="45"/>
      <c r="AH149" s="23">
        <v>82.5</v>
      </c>
      <c r="AI149">
        <v>7</v>
      </c>
      <c r="AJ149">
        <v>10</v>
      </c>
      <c r="AK149">
        <v>0</v>
      </c>
      <c r="AL149" s="23">
        <v>7.5</v>
      </c>
      <c r="AM149" s="23">
        <v>4.545454545454546</v>
      </c>
      <c r="BD149" s="23"/>
      <c r="BF149" s="7"/>
      <c r="BG149" s="19"/>
      <c r="BH149" s="19"/>
      <c r="BR149" s="34"/>
      <c r="BU149" s="21"/>
      <c r="BY149" s="20">
        <v>990</v>
      </c>
      <c r="BZ149" s="20">
        <v>90</v>
      </c>
      <c r="CL149">
        <v>1426</v>
      </c>
      <c r="CM149" s="2" t="s">
        <v>458</v>
      </c>
      <c r="CN149" t="s">
        <v>1031</v>
      </c>
    </row>
    <row r="150" spans="1:92" ht="12.75">
      <c r="A150" s="18">
        <v>1426</v>
      </c>
      <c r="B150" s="14" t="s">
        <v>952</v>
      </c>
      <c r="C150" s="14" t="s">
        <v>558</v>
      </c>
      <c r="D150" s="14" t="s">
        <v>262</v>
      </c>
      <c r="E150" s="14" t="s">
        <v>266</v>
      </c>
      <c r="F150" s="33" t="s">
        <v>232</v>
      </c>
      <c r="G150" s="2">
        <v>1</v>
      </c>
      <c r="H150" s="2" t="s">
        <v>428</v>
      </c>
      <c r="I150" s="10">
        <v>11</v>
      </c>
      <c r="J150" s="23">
        <v>4.5</v>
      </c>
      <c r="K150" s="2" t="s">
        <v>728</v>
      </c>
      <c r="L150" s="14" t="s">
        <v>326</v>
      </c>
      <c r="M150" s="2" t="s">
        <v>469</v>
      </c>
      <c r="N150" s="14" t="s">
        <v>410</v>
      </c>
      <c r="O150" s="14" t="s">
        <v>1460</v>
      </c>
      <c r="P150" s="2" t="s">
        <v>534</v>
      </c>
      <c r="Q150" s="10">
        <v>11</v>
      </c>
      <c r="R150" s="10"/>
      <c r="S150" s="10"/>
      <c r="T150" s="9"/>
      <c r="U150" s="9"/>
      <c r="V150" s="9"/>
      <c r="W150" s="45">
        <v>594</v>
      </c>
      <c r="X150" s="45">
        <v>54</v>
      </c>
      <c r="Y150" s="23">
        <v>30</v>
      </c>
      <c r="Z150" s="6">
        <v>4.5</v>
      </c>
      <c r="AD150" s="45"/>
      <c r="AH150" s="23">
        <v>49.5</v>
      </c>
      <c r="AI150">
        <v>4</v>
      </c>
      <c r="AJ150">
        <v>10</v>
      </c>
      <c r="AK150">
        <v>0</v>
      </c>
      <c r="AL150" s="23">
        <v>4.5</v>
      </c>
      <c r="AM150" s="23">
        <v>2.5</v>
      </c>
      <c r="AZ150" s="23"/>
      <c r="BF150" s="7"/>
      <c r="BG150" s="19"/>
      <c r="BH150" s="19"/>
      <c r="BR150" s="34"/>
      <c r="BU150" s="21"/>
      <c r="BY150" s="20">
        <v>594</v>
      </c>
      <c r="BZ150" s="20">
        <v>54</v>
      </c>
      <c r="CL150">
        <v>1426</v>
      </c>
      <c r="CM150" s="2" t="s">
        <v>469</v>
      </c>
      <c r="CN150" t="s">
        <v>1035</v>
      </c>
    </row>
    <row r="151" spans="1:91" ht="12.75">
      <c r="A151" s="18">
        <v>1426</v>
      </c>
      <c r="B151" s="14" t="s">
        <v>952</v>
      </c>
      <c r="C151" s="14" t="s">
        <v>558</v>
      </c>
      <c r="D151" s="14" t="s">
        <v>262</v>
      </c>
      <c r="E151" s="14" t="s">
        <v>266</v>
      </c>
      <c r="F151" s="33" t="s">
        <v>235</v>
      </c>
      <c r="G151" s="2">
        <v>1</v>
      </c>
      <c r="H151" s="2" t="s">
        <v>428</v>
      </c>
      <c r="I151" s="10">
        <v>1</v>
      </c>
      <c r="J151" s="23">
        <v>5.05</v>
      </c>
      <c r="K151" s="2" t="s">
        <v>1233</v>
      </c>
      <c r="L151" s="14" t="s">
        <v>326</v>
      </c>
      <c r="M151" s="2" t="s">
        <v>492</v>
      </c>
      <c r="N151" s="14" t="s">
        <v>408</v>
      </c>
      <c r="O151" s="14" t="s">
        <v>1179</v>
      </c>
      <c r="P151" s="2" t="s">
        <v>567</v>
      </c>
      <c r="Q151" s="10">
        <v>1</v>
      </c>
      <c r="R151" s="10"/>
      <c r="S151" s="10"/>
      <c r="T151" s="9"/>
      <c r="U151" s="9"/>
      <c r="V151" s="9"/>
      <c r="W151" s="45">
        <v>60.599999999999994</v>
      </c>
      <c r="X151" s="45">
        <v>60.599999999999994</v>
      </c>
      <c r="Y151" s="23"/>
      <c r="Z151" s="6">
        <v>5.05</v>
      </c>
      <c r="AD151" s="45"/>
      <c r="AE151">
        <v>5</v>
      </c>
      <c r="AF151">
        <v>1</v>
      </c>
      <c r="AG151">
        <v>0</v>
      </c>
      <c r="AH151" s="23">
        <v>5.05</v>
      </c>
      <c r="AI151">
        <v>5</v>
      </c>
      <c r="AJ151">
        <v>1</v>
      </c>
      <c r="AK151">
        <v>0</v>
      </c>
      <c r="AL151" s="23">
        <v>5.05</v>
      </c>
      <c r="AM151" s="23"/>
      <c r="AZ151" s="23">
        <v>5.05</v>
      </c>
      <c r="BF151" s="7"/>
      <c r="BG151" s="23"/>
      <c r="BH151" s="19"/>
      <c r="BR151" s="34"/>
      <c r="BU151" s="21"/>
      <c r="BY151" s="20">
        <v>60.599999999999994</v>
      </c>
      <c r="BZ151" s="20">
        <v>60.599999999999994</v>
      </c>
      <c r="CL151">
        <v>1426</v>
      </c>
      <c r="CM151" s="2" t="s">
        <v>492</v>
      </c>
    </row>
    <row r="152" spans="1:91" ht="12.75">
      <c r="A152" s="18">
        <v>1426</v>
      </c>
      <c r="B152" s="14" t="s">
        <v>952</v>
      </c>
      <c r="C152" s="14" t="s">
        <v>558</v>
      </c>
      <c r="D152" s="14" t="s">
        <v>262</v>
      </c>
      <c r="E152" s="14" t="s">
        <v>266</v>
      </c>
      <c r="F152" s="33" t="s">
        <v>236</v>
      </c>
      <c r="G152" s="2">
        <v>1</v>
      </c>
      <c r="H152" s="2" t="s">
        <v>428</v>
      </c>
      <c r="I152" s="10">
        <v>1</v>
      </c>
      <c r="J152" s="23">
        <v>3.95</v>
      </c>
      <c r="K152" s="2" t="s">
        <v>385</v>
      </c>
      <c r="L152" s="14" t="s">
        <v>326</v>
      </c>
      <c r="M152" s="2" t="s">
        <v>432</v>
      </c>
      <c r="N152" s="14" t="s">
        <v>410</v>
      </c>
      <c r="O152" s="14" t="s">
        <v>327</v>
      </c>
      <c r="P152" s="2" t="s">
        <v>288</v>
      </c>
      <c r="Q152" s="10">
        <v>1</v>
      </c>
      <c r="R152" s="10"/>
      <c r="S152" s="10"/>
      <c r="T152" s="9"/>
      <c r="U152" s="9"/>
      <c r="V152" s="9"/>
      <c r="W152" s="45">
        <v>47.400000000000006</v>
      </c>
      <c r="X152" s="45">
        <v>47.400000000000006</v>
      </c>
      <c r="Z152" s="6">
        <v>3.95</v>
      </c>
      <c r="AD152" s="45"/>
      <c r="AE152">
        <v>3</v>
      </c>
      <c r="AF152">
        <v>19</v>
      </c>
      <c r="AG152">
        <v>0</v>
      </c>
      <c r="AH152" s="23">
        <v>3.95</v>
      </c>
      <c r="AI152">
        <v>3</v>
      </c>
      <c r="AJ152">
        <v>19</v>
      </c>
      <c r="AK152">
        <v>0</v>
      </c>
      <c r="AL152" s="23">
        <v>3.95</v>
      </c>
      <c r="AM152" s="23"/>
      <c r="BD152" s="23">
        <v>3.95</v>
      </c>
      <c r="BH152" s="23"/>
      <c r="BI152" s="23"/>
      <c r="BU152" s="21"/>
      <c r="BY152" s="20">
        <v>47.400000000000006</v>
      </c>
      <c r="BZ152" s="20">
        <v>47.400000000000006</v>
      </c>
      <c r="CL152">
        <v>1426</v>
      </c>
      <c r="CM152" s="2" t="s">
        <v>432</v>
      </c>
    </row>
    <row r="154" spans="1:91" ht="12.75">
      <c r="A154" s="18">
        <v>1426</v>
      </c>
      <c r="B154" s="14" t="s">
        <v>952</v>
      </c>
      <c r="C154" s="14" t="s">
        <v>558</v>
      </c>
      <c r="D154" s="14" t="s">
        <v>262</v>
      </c>
      <c r="E154" s="14" t="s">
        <v>266</v>
      </c>
      <c r="F154" s="33" t="s">
        <v>237</v>
      </c>
      <c r="G154" s="2">
        <v>2</v>
      </c>
      <c r="H154" s="2" t="s">
        <v>428</v>
      </c>
      <c r="I154" s="10">
        <v>1</v>
      </c>
      <c r="J154" s="23">
        <v>3.7</v>
      </c>
      <c r="K154" s="2" t="s">
        <v>1227</v>
      </c>
      <c r="L154" s="14" t="s">
        <v>326</v>
      </c>
      <c r="M154" s="2" t="s">
        <v>490</v>
      </c>
      <c r="N154" s="14" t="s">
        <v>410</v>
      </c>
      <c r="O154" s="14" t="s">
        <v>1177</v>
      </c>
      <c r="P154" s="2" t="s">
        <v>636</v>
      </c>
      <c r="Q154" s="10">
        <v>1</v>
      </c>
      <c r="R154" s="10"/>
      <c r="S154" s="10"/>
      <c r="T154" s="9"/>
      <c r="U154" s="9"/>
      <c r="V154" s="9"/>
      <c r="W154" s="45">
        <v>44.400000000000006</v>
      </c>
      <c r="X154" s="45">
        <v>44.400000000000006</v>
      </c>
      <c r="Y154" s="23"/>
      <c r="Z154" s="6">
        <v>3.7</v>
      </c>
      <c r="AD154" s="45"/>
      <c r="AE154">
        <v>3</v>
      </c>
      <c r="AF154">
        <v>14</v>
      </c>
      <c r="AG154">
        <v>0</v>
      </c>
      <c r="AH154" s="23">
        <v>3.7</v>
      </c>
      <c r="AI154">
        <v>3</v>
      </c>
      <c r="AJ154">
        <v>14</v>
      </c>
      <c r="AK154">
        <v>0</v>
      </c>
      <c r="AL154" s="23">
        <v>3.7</v>
      </c>
      <c r="AM154" s="23"/>
      <c r="AW154" s="7"/>
      <c r="AZ154" s="23">
        <v>3.7</v>
      </c>
      <c r="BI154" s="23"/>
      <c r="BR154" s="34"/>
      <c r="BU154" s="21"/>
      <c r="BY154" s="20">
        <v>44.400000000000006</v>
      </c>
      <c r="BZ154" s="20">
        <v>44.400000000000006</v>
      </c>
      <c r="CL154">
        <v>1426</v>
      </c>
      <c r="CM154" s="2" t="s">
        <v>490</v>
      </c>
    </row>
    <row r="155" spans="1:91" ht="12.75">
      <c r="A155" s="18">
        <v>1426</v>
      </c>
      <c r="B155" s="14" t="s">
        <v>952</v>
      </c>
      <c r="C155" s="14" t="s">
        <v>558</v>
      </c>
      <c r="D155" s="14" t="s">
        <v>262</v>
      </c>
      <c r="E155" s="14" t="s">
        <v>266</v>
      </c>
      <c r="F155" s="33" t="s">
        <v>238</v>
      </c>
      <c r="G155" s="2">
        <v>2</v>
      </c>
      <c r="H155" s="2" t="s">
        <v>428</v>
      </c>
      <c r="I155" s="10">
        <v>1</v>
      </c>
      <c r="J155" s="23">
        <v>3.95</v>
      </c>
      <c r="K155" s="2" t="s">
        <v>814</v>
      </c>
      <c r="L155" s="14" t="s">
        <v>326</v>
      </c>
      <c r="M155" s="2" t="s">
        <v>477</v>
      </c>
      <c r="N155" s="14" t="s">
        <v>410</v>
      </c>
      <c r="O155" s="14" t="s">
        <v>755</v>
      </c>
      <c r="P155" s="2" t="s">
        <v>1368</v>
      </c>
      <c r="Q155" s="10">
        <v>1</v>
      </c>
      <c r="R155" s="10"/>
      <c r="S155" s="10"/>
      <c r="T155" s="9"/>
      <c r="U155" s="9"/>
      <c r="V155" s="9"/>
      <c r="W155" s="45">
        <v>47.400000000000006</v>
      </c>
      <c r="X155" s="45">
        <v>47.400000000000006</v>
      </c>
      <c r="Y155" s="23"/>
      <c r="Z155" s="6">
        <v>3.95</v>
      </c>
      <c r="AD155" s="45"/>
      <c r="AE155">
        <v>3</v>
      </c>
      <c r="AF155">
        <v>19</v>
      </c>
      <c r="AG155">
        <v>0</v>
      </c>
      <c r="AH155" s="23">
        <v>3.95</v>
      </c>
      <c r="AI155">
        <v>3</v>
      </c>
      <c r="AJ155">
        <v>19</v>
      </c>
      <c r="AK155">
        <v>0</v>
      </c>
      <c r="AL155" s="23">
        <v>3.95</v>
      </c>
      <c r="AM155" s="23"/>
      <c r="BA155" s="7"/>
      <c r="BB155" s="19"/>
      <c r="BG155" s="23">
        <v>3.95</v>
      </c>
      <c r="BI155" s="23"/>
      <c r="BR155" s="34"/>
      <c r="BU155" s="21"/>
      <c r="BY155" s="20">
        <v>47.400000000000006</v>
      </c>
      <c r="BZ155" s="20">
        <v>47.400000000000006</v>
      </c>
      <c r="CL155">
        <v>1426</v>
      </c>
      <c r="CM155" s="2" t="s">
        <v>477</v>
      </c>
    </row>
    <row r="156" spans="1:91" ht="12.75">
      <c r="A156" s="18">
        <v>1426</v>
      </c>
      <c r="B156" s="14" t="s">
        <v>952</v>
      </c>
      <c r="C156" s="14" t="s">
        <v>558</v>
      </c>
      <c r="D156" s="14" t="s">
        <v>262</v>
      </c>
      <c r="E156" s="14" t="s">
        <v>266</v>
      </c>
      <c r="F156" s="33" t="s">
        <v>239</v>
      </c>
      <c r="G156" s="2">
        <v>2</v>
      </c>
      <c r="H156" s="2" t="s">
        <v>428</v>
      </c>
      <c r="I156" s="10">
        <v>1</v>
      </c>
      <c r="J156" s="23">
        <v>3.8</v>
      </c>
      <c r="K156" s="2" t="s">
        <v>1126</v>
      </c>
      <c r="L156" s="14" t="s">
        <v>326</v>
      </c>
      <c r="M156" s="2" t="s">
        <v>487</v>
      </c>
      <c r="N156" s="14" t="s">
        <v>410</v>
      </c>
      <c r="O156" s="14" t="s">
        <v>1107</v>
      </c>
      <c r="P156" s="2" t="s">
        <v>1478</v>
      </c>
      <c r="Q156" s="10">
        <v>1</v>
      </c>
      <c r="R156" s="10"/>
      <c r="S156" s="10"/>
      <c r="T156" s="9"/>
      <c r="U156" s="9"/>
      <c r="V156" s="9"/>
      <c r="W156" s="45">
        <v>45.599999999999994</v>
      </c>
      <c r="X156" s="45">
        <v>45.599999999999994</v>
      </c>
      <c r="Y156" s="23"/>
      <c r="Z156" s="6">
        <v>3.8</v>
      </c>
      <c r="AD156" s="45"/>
      <c r="AE156">
        <v>3</v>
      </c>
      <c r="AF156">
        <v>16</v>
      </c>
      <c r="AG156">
        <v>0</v>
      </c>
      <c r="AH156" s="23">
        <v>3.8</v>
      </c>
      <c r="AI156">
        <v>3</v>
      </c>
      <c r="AJ156">
        <v>16</v>
      </c>
      <c r="AK156">
        <v>0</v>
      </c>
      <c r="AL156" s="23">
        <v>3.8</v>
      </c>
      <c r="AM156" s="23"/>
      <c r="BA156" s="19"/>
      <c r="BB156" s="7"/>
      <c r="BE156" s="23"/>
      <c r="BI156" s="23">
        <v>3.8</v>
      </c>
      <c r="BR156" s="34"/>
      <c r="BU156" s="21"/>
      <c r="BY156" s="20">
        <v>45.599999999999994</v>
      </c>
      <c r="BZ156" s="20">
        <v>45.599999999999994</v>
      </c>
      <c r="CL156">
        <v>1426</v>
      </c>
      <c r="CM156" s="2" t="s">
        <v>487</v>
      </c>
    </row>
    <row r="157" spans="1:92" ht="12.75">
      <c r="A157" s="18">
        <v>1426</v>
      </c>
      <c r="B157" s="14" t="s">
        <v>952</v>
      </c>
      <c r="C157" s="14" t="s">
        <v>558</v>
      </c>
      <c r="D157" s="14" t="s">
        <v>262</v>
      </c>
      <c r="E157" s="14" t="s">
        <v>266</v>
      </c>
      <c r="F157" s="33" t="s">
        <v>233</v>
      </c>
      <c r="G157" s="2">
        <v>2</v>
      </c>
      <c r="H157" s="2" t="s">
        <v>502</v>
      </c>
      <c r="I157" s="10"/>
      <c r="K157" s="2" t="s">
        <v>1219</v>
      </c>
      <c r="L157" s="14" t="s">
        <v>326</v>
      </c>
      <c r="M157" s="2" t="s">
        <v>430</v>
      </c>
      <c r="N157" s="14" t="s">
        <v>410</v>
      </c>
      <c r="O157" s="14" t="s">
        <v>1177</v>
      </c>
      <c r="P157" s="2" t="s">
        <v>3</v>
      </c>
      <c r="Q157" s="10"/>
      <c r="R157" s="10" t="s">
        <v>3</v>
      </c>
      <c r="S157" s="10"/>
      <c r="T157" s="9"/>
      <c r="U157" s="9"/>
      <c r="V157" s="9"/>
      <c r="Y157" s="23">
        <v>28</v>
      </c>
      <c r="Z157" s="6"/>
      <c r="AD157" s="45"/>
      <c r="AH157" s="23"/>
      <c r="AM157" s="23">
        <v>2.3333333333333335</v>
      </c>
      <c r="BR157" s="34"/>
      <c r="BU157" s="21"/>
      <c r="BY157" s="20"/>
      <c r="BZ157" s="20"/>
      <c r="CL157">
        <v>1426</v>
      </c>
      <c r="CM157" s="2" t="s">
        <v>430</v>
      </c>
      <c r="CN157" t="s">
        <v>1042</v>
      </c>
    </row>
    <row r="158" spans="1:92" ht="12.75">
      <c r="A158" s="18">
        <v>1426</v>
      </c>
      <c r="B158" s="14" t="s">
        <v>952</v>
      </c>
      <c r="C158" s="14" t="s">
        <v>558</v>
      </c>
      <c r="D158" s="14" t="s">
        <v>262</v>
      </c>
      <c r="E158" s="14" t="s">
        <v>266</v>
      </c>
      <c r="F158" s="33" t="s">
        <v>234</v>
      </c>
      <c r="G158" s="2">
        <v>2</v>
      </c>
      <c r="H158" s="2" t="s">
        <v>428</v>
      </c>
      <c r="I158" s="10">
        <v>50</v>
      </c>
      <c r="J158" s="23">
        <v>3.8</v>
      </c>
      <c r="K158" s="2" t="s">
        <v>835</v>
      </c>
      <c r="L158" s="14" t="s">
        <v>326</v>
      </c>
      <c r="M158" s="2" t="s">
        <v>471</v>
      </c>
      <c r="N158" s="14" t="s">
        <v>410</v>
      </c>
      <c r="O158" s="14" t="s">
        <v>747</v>
      </c>
      <c r="P158" s="2" t="s">
        <v>1304</v>
      </c>
      <c r="Q158" s="10">
        <v>50</v>
      </c>
      <c r="R158" s="10"/>
      <c r="S158" s="10"/>
      <c r="T158" s="9"/>
      <c r="U158" s="9"/>
      <c r="V158" s="9"/>
      <c r="W158" s="45">
        <v>2279.9999999999995</v>
      </c>
      <c r="X158" s="45">
        <v>45.599999999999994</v>
      </c>
      <c r="Y158" s="23"/>
      <c r="Z158" s="6">
        <v>3.8</v>
      </c>
      <c r="AD158" s="45"/>
      <c r="AH158" s="23">
        <v>190</v>
      </c>
      <c r="AI158">
        <v>3</v>
      </c>
      <c r="AJ158">
        <v>16</v>
      </c>
      <c r="AK158">
        <v>0</v>
      </c>
      <c r="AL158" s="23">
        <v>3.8</v>
      </c>
      <c r="AM158" s="23"/>
      <c r="AZ158" s="23"/>
      <c r="BE158" s="23">
        <v>3.8</v>
      </c>
      <c r="BR158" s="34"/>
      <c r="BU158" s="21"/>
      <c r="BY158" s="20">
        <v>2279.9999999999995</v>
      </c>
      <c r="BZ158" s="20">
        <v>45.599999999999994</v>
      </c>
      <c r="CL158">
        <v>1426</v>
      </c>
      <c r="CM158" s="2" t="s">
        <v>471</v>
      </c>
      <c r="CN158" t="s">
        <v>1052</v>
      </c>
    </row>
    <row r="160" spans="1:92" ht="12.75">
      <c r="A160" s="18">
        <v>1426</v>
      </c>
      <c r="B160" s="14" t="s">
        <v>952</v>
      </c>
      <c r="C160" s="14" t="s">
        <v>558</v>
      </c>
      <c r="D160" s="14" t="s">
        <v>262</v>
      </c>
      <c r="E160" s="14" t="s">
        <v>252</v>
      </c>
      <c r="F160" s="33" t="s">
        <v>244</v>
      </c>
      <c r="G160" s="2"/>
      <c r="H160" s="2" t="s">
        <v>428</v>
      </c>
      <c r="I160" s="10">
        <v>3</v>
      </c>
      <c r="J160" s="23">
        <v>3.9</v>
      </c>
      <c r="K160" s="2" t="s">
        <v>839</v>
      </c>
      <c r="L160" s="14" t="s">
        <v>326</v>
      </c>
      <c r="M160" s="2" t="s">
        <v>473</v>
      </c>
      <c r="N160" s="14" t="s">
        <v>410</v>
      </c>
      <c r="O160" s="14" t="s">
        <v>745</v>
      </c>
      <c r="P160" s="2" t="s">
        <v>1293</v>
      </c>
      <c r="Q160" s="10">
        <v>3</v>
      </c>
      <c r="R160" s="10"/>
      <c r="S160" s="10"/>
      <c r="T160" s="9"/>
      <c r="U160" s="9"/>
      <c r="V160" s="9"/>
      <c r="W160" s="45">
        <v>140.39999999999998</v>
      </c>
      <c r="X160" s="45">
        <v>46.8</v>
      </c>
      <c r="Y160" s="23"/>
      <c r="Z160" s="6">
        <v>3.9</v>
      </c>
      <c r="AD160" s="45"/>
      <c r="AE160">
        <v>11</v>
      </c>
      <c r="AF160">
        <v>14</v>
      </c>
      <c r="AG160">
        <v>0</v>
      </c>
      <c r="AH160" s="23">
        <v>11.7</v>
      </c>
      <c r="AI160">
        <v>3</v>
      </c>
      <c r="AJ160">
        <v>18</v>
      </c>
      <c r="AK160">
        <v>0</v>
      </c>
      <c r="AL160" s="23">
        <v>3.9</v>
      </c>
      <c r="AM160" s="23"/>
      <c r="BE160" s="7"/>
      <c r="BF160" s="23">
        <v>3.9</v>
      </c>
      <c r="BI160" s="23"/>
      <c r="BR160" s="34"/>
      <c r="BU160" s="21"/>
      <c r="BY160" s="20">
        <v>140.39999999999998</v>
      </c>
      <c r="BZ160" s="20">
        <v>46.79999999999999</v>
      </c>
      <c r="CL160">
        <v>1426</v>
      </c>
      <c r="CM160" s="2" t="s">
        <v>473</v>
      </c>
      <c r="CN160" t="s">
        <v>1045</v>
      </c>
    </row>
    <row r="162" spans="1:91" ht="12.75">
      <c r="A162" s="18">
        <v>1426</v>
      </c>
      <c r="B162" s="14" t="s">
        <v>1077</v>
      </c>
      <c r="C162" s="14" t="s">
        <v>558</v>
      </c>
      <c r="D162" s="14" t="s">
        <v>263</v>
      </c>
      <c r="E162" s="14" t="s">
        <v>253</v>
      </c>
      <c r="F162" s="33" t="s">
        <v>245</v>
      </c>
      <c r="G162" s="2"/>
      <c r="H162" s="2" t="s">
        <v>428</v>
      </c>
      <c r="I162" s="10">
        <v>5.666666666666667</v>
      </c>
      <c r="J162" s="23">
        <v>5.5</v>
      </c>
      <c r="K162" s="2" t="s">
        <v>815</v>
      </c>
      <c r="L162" s="14" t="s">
        <v>326</v>
      </c>
      <c r="M162" s="2" t="s">
        <v>477</v>
      </c>
      <c r="N162" s="14" t="s">
        <v>410</v>
      </c>
      <c r="O162" s="14" t="s">
        <v>755</v>
      </c>
      <c r="P162" s="2" t="s">
        <v>1494</v>
      </c>
      <c r="Q162" s="10">
        <v>5.666666666666667</v>
      </c>
      <c r="R162" s="10"/>
      <c r="S162" s="10"/>
      <c r="T162" s="9"/>
      <c r="U162" s="9"/>
      <c r="V162" s="9"/>
      <c r="W162" s="45">
        <v>374</v>
      </c>
      <c r="X162" s="45">
        <v>66</v>
      </c>
      <c r="Y162" s="23"/>
      <c r="Z162" s="6">
        <v>5.5</v>
      </c>
      <c r="AH162" s="23">
        <v>31.166666666666668</v>
      </c>
      <c r="AI162">
        <v>5</v>
      </c>
      <c r="AJ162">
        <v>10</v>
      </c>
      <c r="AK162">
        <v>0</v>
      </c>
      <c r="AL162" s="23">
        <v>5.5</v>
      </c>
      <c r="AM162" s="23"/>
      <c r="BR162" s="34"/>
      <c r="BU162" s="21"/>
      <c r="BY162" s="20">
        <v>374</v>
      </c>
      <c r="BZ162" s="20">
        <v>66</v>
      </c>
      <c r="CL162">
        <v>1426</v>
      </c>
      <c r="CM162" s="2" t="s">
        <v>477</v>
      </c>
    </row>
    <row r="163" spans="1:91" ht="12.75">
      <c r="A163" s="18">
        <v>1426</v>
      </c>
      <c r="B163" s="14" t="s">
        <v>1077</v>
      </c>
      <c r="C163" s="14" t="s">
        <v>558</v>
      </c>
      <c r="D163" s="14" t="s">
        <v>263</v>
      </c>
      <c r="E163" s="14" t="s">
        <v>253</v>
      </c>
      <c r="F163" s="33" t="s">
        <v>246</v>
      </c>
      <c r="G163" s="2"/>
      <c r="H163" s="2" t="s">
        <v>428</v>
      </c>
      <c r="I163" s="10">
        <v>5.5</v>
      </c>
      <c r="J163" s="23">
        <v>5.5</v>
      </c>
      <c r="K163" s="2" t="s">
        <v>530</v>
      </c>
      <c r="L163" s="14" t="s">
        <v>326</v>
      </c>
      <c r="M163" s="2" t="s">
        <v>486</v>
      </c>
      <c r="N163" s="14" t="s">
        <v>410</v>
      </c>
      <c r="O163" s="14" t="s">
        <v>1002</v>
      </c>
      <c r="P163" s="2" t="s">
        <v>1494</v>
      </c>
      <c r="Q163" s="10">
        <v>5.5</v>
      </c>
      <c r="R163" s="10"/>
      <c r="S163" s="10"/>
      <c r="T163" s="9"/>
      <c r="U163" s="9"/>
      <c r="V163" s="9"/>
      <c r="W163" s="45">
        <v>363</v>
      </c>
      <c r="X163" s="45">
        <v>66</v>
      </c>
      <c r="Z163" s="6">
        <v>5.5</v>
      </c>
      <c r="AH163" s="23">
        <v>30.25</v>
      </c>
      <c r="AI163">
        <v>5</v>
      </c>
      <c r="AJ163">
        <v>10</v>
      </c>
      <c r="AK163">
        <v>0</v>
      </c>
      <c r="AL163" s="23">
        <v>5.5</v>
      </c>
      <c r="BR163" s="34"/>
      <c r="BU163" s="21"/>
      <c r="BY163" s="20">
        <v>363</v>
      </c>
      <c r="BZ163" s="20">
        <v>66</v>
      </c>
      <c r="CL163">
        <v>1426</v>
      </c>
      <c r="CM163" s="2" t="s">
        <v>486</v>
      </c>
    </row>
    <row r="164" spans="1:91" ht="12.75">
      <c r="A164" s="18">
        <v>1426</v>
      </c>
      <c r="B164" s="14" t="s">
        <v>1077</v>
      </c>
      <c r="C164" s="14" t="s">
        <v>558</v>
      </c>
      <c r="D164" s="14" t="s">
        <v>263</v>
      </c>
      <c r="E164" s="14" t="s">
        <v>253</v>
      </c>
      <c r="F164" s="33" t="s">
        <v>247</v>
      </c>
      <c r="G164" s="2"/>
      <c r="H164" s="2" t="s">
        <v>428</v>
      </c>
      <c r="I164" s="10">
        <v>3</v>
      </c>
      <c r="J164" s="23">
        <v>5.3</v>
      </c>
      <c r="K164" s="2" t="s">
        <v>816</v>
      </c>
      <c r="L164" s="14" t="s">
        <v>326</v>
      </c>
      <c r="M164" s="2" t="s">
        <v>477</v>
      </c>
      <c r="N164" s="14" t="s">
        <v>410</v>
      </c>
      <c r="O164" s="14" t="s">
        <v>755</v>
      </c>
      <c r="P164" s="2" t="s">
        <v>567</v>
      </c>
      <c r="Q164" s="10">
        <v>3</v>
      </c>
      <c r="R164" s="10"/>
      <c r="S164" s="10"/>
      <c r="T164" s="9"/>
      <c r="U164" s="9"/>
      <c r="V164" s="9"/>
      <c r="W164" s="45">
        <v>190.8</v>
      </c>
      <c r="X164" s="45">
        <v>63.599999999999994</v>
      </c>
      <c r="Y164" s="23"/>
      <c r="Z164" s="6">
        <v>5.3</v>
      </c>
      <c r="AD164" s="45"/>
      <c r="AH164" s="23">
        <v>15.899999999999999</v>
      </c>
      <c r="AI164">
        <v>5</v>
      </c>
      <c r="AJ164">
        <v>6</v>
      </c>
      <c r="AK164">
        <v>0</v>
      </c>
      <c r="AL164" s="23">
        <v>5.3</v>
      </c>
      <c r="AZ164" s="23">
        <v>5.3</v>
      </c>
      <c r="BR164" s="34"/>
      <c r="BU164" s="21"/>
      <c r="BY164" s="20">
        <v>190.8</v>
      </c>
      <c r="BZ164" s="20">
        <v>63.599999999999994</v>
      </c>
      <c r="CL164">
        <v>1426</v>
      </c>
      <c r="CM164" s="2" t="s">
        <v>477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28.00390625" style="0" customWidth="1"/>
    <col min="10" max="10" width="7.57421875" style="0" customWidth="1"/>
    <col min="11" max="11" width="23.28125" style="0" customWidth="1"/>
    <col min="12" max="12" width="6.28125" style="0" customWidth="1"/>
    <col min="13" max="13" width="7.57421875" style="0" customWidth="1"/>
    <col min="14" max="14" width="10.85156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3.28125" style="0" customWidth="1"/>
    <col min="90" max="90" width="9.42187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DC1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8.421875" style="0" customWidth="1"/>
    <col min="4" max="4" width="6.57421875" style="0" customWidth="1"/>
    <col min="5" max="5" width="6.7109375" style="0" customWidth="1"/>
    <col min="7" max="7" width="8.7109375" style="0" customWidth="1"/>
    <col min="8" max="8" width="12.8515625" style="0" customWidth="1"/>
    <col min="9" max="9" width="30.28125" style="0" customWidth="1"/>
    <col min="10" max="10" width="7.57421875" style="0" customWidth="1"/>
    <col min="11" max="11" width="25.7109375" style="0" customWidth="1"/>
    <col min="12" max="12" width="6.28125" style="0" customWidth="1"/>
    <col min="13" max="13" width="7.57421875" style="0" customWidth="1"/>
    <col min="14" max="14" width="41.5742187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3.8515625" style="0" customWidth="1"/>
    <col min="72" max="74" width="19.00390625" style="0" customWidth="1"/>
    <col min="75" max="75" width="10.1406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5.7109375" style="0" customWidth="1"/>
    <col min="90" max="90" width="121.00390625" style="0" customWidth="1"/>
    <col min="91" max="91" width="13.421875" style="0" customWidth="1"/>
  </cols>
  <sheetData>
    <row r="1" spans="1:88" ht="12.75">
      <c r="A1" s="14"/>
      <c r="B1" s="18" t="s">
        <v>1547</v>
      </c>
      <c r="C1" s="4"/>
      <c r="D1" s="3"/>
      <c r="E1" s="4" t="s">
        <v>443</v>
      </c>
      <c r="F1" s="26"/>
      <c r="G1" s="39"/>
      <c r="H1" s="3"/>
      <c r="I1" s="2"/>
      <c r="J1" s="16"/>
      <c r="K1" s="17"/>
      <c r="L1" s="16"/>
      <c r="M1" s="16"/>
      <c r="N1" s="2"/>
      <c r="O1" s="41"/>
      <c r="P1" s="41"/>
      <c r="Q1" s="41"/>
      <c r="R1" s="26"/>
      <c r="S1" s="26"/>
      <c r="T1" s="26"/>
      <c r="U1" s="35"/>
      <c r="V1" s="35"/>
      <c r="W1" s="35"/>
      <c r="X1" s="35"/>
      <c r="Y1" s="35"/>
      <c r="Z1" s="35"/>
      <c r="AA1" s="35"/>
      <c r="AB1" s="35"/>
      <c r="AC1" s="32"/>
      <c r="AD1" s="32"/>
      <c r="AE1" s="32"/>
      <c r="AF1" s="32"/>
      <c r="AG1" s="32"/>
      <c r="AH1" s="32"/>
      <c r="AI1" s="32"/>
      <c r="AJ1" s="7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4"/>
      <c r="BB1" s="35"/>
      <c r="BC1" s="35"/>
      <c r="BD1" s="35"/>
      <c r="BE1" s="35"/>
      <c r="BF1" s="35"/>
      <c r="BG1" s="35"/>
      <c r="BH1" s="34"/>
      <c r="BI1" s="34"/>
      <c r="BJ1" s="34"/>
      <c r="BK1" s="34"/>
      <c r="BL1" s="34"/>
      <c r="BO1" s="19"/>
      <c r="BP1" s="34"/>
      <c r="BQ1" s="36"/>
      <c r="BW1" s="35"/>
      <c r="BX1" s="35"/>
      <c r="BY1" s="34"/>
      <c r="BZ1" s="34"/>
      <c r="CA1" s="34"/>
      <c r="CB1" s="34"/>
      <c r="CC1" s="34"/>
      <c r="CD1" s="34"/>
      <c r="CE1" s="32"/>
      <c r="CF1" s="32"/>
      <c r="CG1" s="35"/>
      <c r="CH1" s="32"/>
      <c r="CI1" s="32"/>
      <c r="CJ1" s="19"/>
    </row>
    <row r="2" spans="1:88" ht="12.75">
      <c r="A2" s="15"/>
      <c r="B2" s="16"/>
      <c r="C2" s="14"/>
      <c r="D2" s="14"/>
      <c r="E2" s="14"/>
      <c r="F2" s="26"/>
      <c r="G2" s="39"/>
      <c r="H2" s="3"/>
      <c r="I2" s="2"/>
      <c r="J2" s="16"/>
      <c r="K2" s="17"/>
      <c r="L2" s="16"/>
      <c r="M2" s="16"/>
      <c r="N2" s="2"/>
      <c r="O2" s="41"/>
      <c r="P2" s="41"/>
      <c r="Q2" s="41"/>
      <c r="R2" s="26"/>
      <c r="S2" s="26"/>
      <c r="T2" s="26"/>
      <c r="U2" s="35"/>
      <c r="V2" s="35"/>
      <c r="W2" s="35"/>
      <c r="X2" s="35"/>
      <c r="Y2" s="35"/>
      <c r="Z2" s="35"/>
      <c r="AA2" s="35"/>
      <c r="AB2" s="35"/>
      <c r="AC2" s="32"/>
      <c r="AD2" s="32"/>
      <c r="AE2" s="32"/>
      <c r="AF2" s="32"/>
      <c r="AG2" s="32"/>
      <c r="AH2" s="32"/>
      <c r="AI2" s="32"/>
      <c r="AJ2" s="7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4"/>
      <c r="BB2" s="35"/>
      <c r="BC2" s="35"/>
      <c r="BD2" s="35"/>
      <c r="BE2" s="35"/>
      <c r="BF2" s="35"/>
      <c r="BG2" s="35"/>
      <c r="BH2" s="34"/>
      <c r="BI2" s="34"/>
      <c r="BJ2" s="34"/>
      <c r="BK2" s="34"/>
      <c r="BL2" s="34"/>
      <c r="BO2" s="19"/>
      <c r="BP2" s="34"/>
      <c r="BQ2" s="36"/>
      <c r="BW2" s="35"/>
      <c r="BX2" s="35"/>
      <c r="BY2" s="34"/>
      <c r="BZ2" s="34"/>
      <c r="CA2" s="34"/>
      <c r="CB2" s="34"/>
      <c r="CC2" s="34"/>
      <c r="CD2" s="34"/>
      <c r="CE2" s="32"/>
      <c r="CF2" s="32"/>
      <c r="CG2" s="35"/>
      <c r="CH2" s="32"/>
      <c r="CI2" s="32"/>
      <c r="CJ2" s="19"/>
    </row>
    <row r="3" spans="1:91" ht="12.75">
      <c r="A3" s="15" t="s">
        <v>1538</v>
      </c>
      <c r="B3" s="15" t="s">
        <v>988</v>
      </c>
      <c r="C3" s="15" t="s">
        <v>1339</v>
      </c>
      <c r="D3" s="15" t="s">
        <v>658</v>
      </c>
      <c r="E3" s="15" t="s">
        <v>740</v>
      </c>
      <c r="F3" s="27" t="s">
        <v>290</v>
      </c>
      <c r="G3" s="1" t="s">
        <v>1104</v>
      </c>
      <c r="H3" s="4" t="s">
        <v>1151</v>
      </c>
      <c r="I3" s="4" t="s">
        <v>642</v>
      </c>
      <c r="J3" s="15" t="s">
        <v>413</v>
      </c>
      <c r="K3" s="40" t="s">
        <v>1359</v>
      </c>
      <c r="L3" s="15" t="s">
        <v>1358</v>
      </c>
      <c r="M3" s="15" t="s">
        <v>586</v>
      </c>
      <c r="N3" s="4" t="s">
        <v>1197</v>
      </c>
      <c r="O3" s="42" t="s">
        <v>1074</v>
      </c>
      <c r="P3" s="42" t="s">
        <v>1074</v>
      </c>
      <c r="Q3" s="49" t="s">
        <v>1070</v>
      </c>
      <c r="R3" s="44" t="s">
        <v>1410</v>
      </c>
      <c r="S3" s="44" t="s">
        <v>1410</v>
      </c>
      <c r="T3" s="44" t="s">
        <v>1410</v>
      </c>
      <c r="U3" s="29" t="s">
        <v>1410</v>
      </c>
      <c r="V3" s="29" t="s">
        <v>1166</v>
      </c>
      <c r="W3" s="29" t="s">
        <v>1168</v>
      </c>
      <c r="X3" s="29" t="s">
        <v>1166</v>
      </c>
      <c r="Y3" s="8" t="s">
        <v>1166</v>
      </c>
      <c r="Z3" s="8" t="s">
        <v>1166</v>
      </c>
      <c r="AA3" s="8" t="s">
        <v>1166</v>
      </c>
      <c r="AB3" s="8" t="s">
        <v>1166</v>
      </c>
      <c r="AC3" s="8" t="s">
        <v>1410</v>
      </c>
      <c r="AD3" s="25" t="s">
        <v>1410</v>
      </c>
      <c r="AE3" s="8" t="s">
        <v>1410</v>
      </c>
      <c r="AF3" s="22" t="s">
        <v>1410</v>
      </c>
      <c r="AG3" s="22" t="s">
        <v>1166</v>
      </c>
      <c r="AH3" s="22" t="s">
        <v>1166</v>
      </c>
      <c r="AI3" s="22" t="s">
        <v>1166</v>
      </c>
      <c r="AJ3" s="11" t="s">
        <v>1166</v>
      </c>
      <c r="AK3" s="29" t="s">
        <v>1164</v>
      </c>
      <c r="AL3" s="29" t="s">
        <v>1335</v>
      </c>
      <c r="AM3" s="29" t="s">
        <v>1166</v>
      </c>
      <c r="AN3" s="29" t="s">
        <v>1166</v>
      </c>
      <c r="AO3" s="29" t="s">
        <v>1166</v>
      </c>
      <c r="AP3" s="29" t="s">
        <v>1166</v>
      </c>
      <c r="AQ3" s="29" t="s">
        <v>1166</v>
      </c>
      <c r="AR3" s="29" t="s">
        <v>1166</v>
      </c>
      <c r="AS3" s="29" t="s">
        <v>1166</v>
      </c>
      <c r="AT3" s="29" t="s">
        <v>1166</v>
      </c>
      <c r="AU3" s="29" t="s">
        <v>1283</v>
      </c>
      <c r="AV3" s="29" t="s">
        <v>1296</v>
      </c>
      <c r="AW3" s="29" t="s">
        <v>872</v>
      </c>
      <c r="AX3" s="29" t="s">
        <v>571</v>
      </c>
      <c r="AY3" s="29" t="s">
        <v>1426</v>
      </c>
      <c r="AZ3" s="29" t="s">
        <v>942</v>
      </c>
      <c r="BA3" s="28" t="s">
        <v>853</v>
      </c>
      <c r="BB3" s="29" t="s">
        <v>1314</v>
      </c>
      <c r="BC3" s="29" t="s">
        <v>977</v>
      </c>
      <c r="BD3" s="29" t="s">
        <v>1156</v>
      </c>
      <c r="BE3" s="29" t="s">
        <v>1367</v>
      </c>
      <c r="BF3" s="29" t="s">
        <v>889</v>
      </c>
      <c r="BG3" s="29" t="s">
        <v>1095</v>
      </c>
      <c r="BH3" s="28" t="s">
        <v>581</v>
      </c>
      <c r="BI3" s="28" t="s">
        <v>1406</v>
      </c>
      <c r="BJ3" s="28" t="s">
        <v>1411</v>
      </c>
      <c r="BK3" s="28" t="s">
        <v>611</v>
      </c>
      <c r="BL3" s="28" t="s">
        <v>678</v>
      </c>
      <c r="BM3" s="8" t="s">
        <v>1318</v>
      </c>
      <c r="BN3" s="8" t="s">
        <v>1094</v>
      </c>
      <c r="BO3" s="8" t="s">
        <v>1404</v>
      </c>
      <c r="BP3" s="28" t="s">
        <v>1407</v>
      </c>
      <c r="BQ3" s="31" t="s">
        <v>678</v>
      </c>
      <c r="BR3" s="8" t="s">
        <v>735</v>
      </c>
      <c r="BS3" s="8" t="s">
        <v>1408</v>
      </c>
      <c r="BT3" s="8" t="s">
        <v>1418</v>
      </c>
      <c r="BU3" s="8" t="s">
        <v>1418</v>
      </c>
      <c r="BV3" s="8" t="s">
        <v>1417</v>
      </c>
      <c r="BW3" s="29" t="s">
        <v>1405</v>
      </c>
      <c r="BX3" s="29" t="s">
        <v>1167</v>
      </c>
      <c r="BY3" s="28" t="s">
        <v>805</v>
      </c>
      <c r="BZ3" s="28" t="s">
        <v>1071</v>
      </c>
      <c r="CA3" s="28" t="s">
        <v>1438</v>
      </c>
      <c r="CB3" s="28" t="s">
        <v>1412</v>
      </c>
      <c r="CC3" s="28" t="s">
        <v>692</v>
      </c>
      <c r="CD3" s="28" t="s">
        <v>692</v>
      </c>
      <c r="CE3" s="22" t="s">
        <v>1438</v>
      </c>
      <c r="CF3" s="22" t="s">
        <v>739</v>
      </c>
      <c r="CG3" s="29" t="s">
        <v>1423</v>
      </c>
      <c r="CH3" s="22" t="s">
        <v>620</v>
      </c>
      <c r="CI3" s="22" t="s">
        <v>631</v>
      </c>
      <c r="CJ3" s="8" t="s">
        <v>1538</v>
      </c>
      <c r="CK3" s="8" t="s">
        <v>572</v>
      </c>
      <c r="CL3" s="8" t="s">
        <v>1210</v>
      </c>
      <c r="CM3" s="8" t="s">
        <v>545</v>
      </c>
    </row>
    <row r="4" spans="1:91" ht="12.75">
      <c r="A4" s="15"/>
      <c r="B4" s="15" t="s">
        <v>1309</v>
      </c>
      <c r="C4" s="15" t="s">
        <v>316</v>
      </c>
      <c r="D4" s="15" t="s">
        <v>1069</v>
      </c>
      <c r="E4" s="15" t="s">
        <v>1104</v>
      </c>
      <c r="F4" s="27" t="s">
        <v>1074</v>
      </c>
      <c r="G4" s="1" t="s">
        <v>1074</v>
      </c>
      <c r="H4" s="4" t="s">
        <v>950</v>
      </c>
      <c r="I4" s="4" t="s">
        <v>1086</v>
      </c>
      <c r="J4" s="15" t="s">
        <v>1334</v>
      </c>
      <c r="K4" s="40" t="s">
        <v>1383</v>
      </c>
      <c r="L4" s="15" t="s">
        <v>580</v>
      </c>
      <c r="M4" s="15" t="s">
        <v>580</v>
      </c>
      <c r="N4" s="4" t="s">
        <v>606</v>
      </c>
      <c r="O4" s="42" t="s">
        <v>1080</v>
      </c>
      <c r="P4" s="42" t="s">
        <v>1081</v>
      </c>
      <c r="Q4" s="49" t="s">
        <v>1404</v>
      </c>
      <c r="R4" s="44" t="s">
        <v>939</v>
      </c>
      <c r="S4" s="44" t="s">
        <v>939</v>
      </c>
      <c r="T4" s="44" t="s">
        <v>939</v>
      </c>
      <c r="U4" s="29" t="s">
        <v>938</v>
      </c>
      <c r="V4" s="29" t="s">
        <v>938</v>
      </c>
      <c r="W4" s="29" t="s">
        <v>1321</v>
      </c>
      <c r="X4" s="29" t="s">
        <v>1158</v>
      </c>
      <c r="Y4" s="8" t="s">
        <v>938</v>
      </c>
      <c r="Z4" s="8" t="s">
        <v>938</v>
      </c>
      <c r="AA4" s="8" t="s">
        <v>938</v>
      </c>
      <c r="AB4" s="8" t="s">
        <v>938</v>
      </c>
      <c r="AC4" s="8" t="s">
        <v>1157</v>
      </c>
      <c r="AD4" s="8" t="s">
        <v>1157</v>
      </c>
      <c r="AE4" s="8" t="s">
        <v>1157</v>
      </c>
      <c r="AF4" s="8" t="s">
        <v>1157</v>
      </c>
      <c r="AG4" s="8" t="s">
        <v>1157</v>
      </c>
      <c r="AH4" s="8" t="s">
        <v>1157</v>
      </c>
      <c r="AI4" s="8" t="s">
        <v>1157</v>
      </c>
      <c r="AJ4" s="11" t="s">
        <v>1157</v>
      </c>
      <c r="AK4" s="29" t="s">
        <v>1121</v>
      </c>
      <c r="AL4" s="29" t="s">
        <v>1165</v>
      </c>
      <c r="AM4" s="29" t="s">
        <v>23</v>
      </c>
      <c r="AN4" s="29" t="s">
        <v>23</v>
      </c>
      <c r="AO4" s="29" t="s">
        <v>23</v>
      </c>
      <c r="AP4" s="29" t="s">
        <v>23</v>
      </c>
      <c r="AQ4" s="29" t="s">
        <v>26</v>
      </c>
      <c r="AR4" s="29" t="s">
        <v>26</v>
      </c>
      <c r="AS4" s="29" t="s">
        <v>26</v>
      </c>
      <c r="AT4" s="29" t="s">
        <v>26</v>
      </c>
      <c r="AU4" s="1"/>
      <c r="AV4" s="29" t="s">
        <v>365</v>
      </c>
      <c r="AW4" s="29" t="s">
        <v>556</v>
      </c>
      <c r="AX4" s="29"/>
      <c r="AY4" s="29" t="s">
        <v>571</v>
      </c>
      <c r="AZ4" s="29" t="s">
        <v>571</v>
      </c>
      <c r="BA4" s="28"/>
      <c r="BB4" s="29"/>
      <c r="BC4" s="29" t="s">
        <v>1304</v>
      </c>
      <c r="BD4" s="29" t="s">
        <v>1286</v>
      </c>
      <c r="BE4" s="29"/>
      <c r="BF4" s="29"/>
      <c r="BG4" s="29"/>
      <c r="BH4" s="28" t="s">
        <v>1095</v>
      </c>
      <c r="BI4" s="28" t="s">
        <v>1162</v>
      </c>
      <c r="BJ4" s="28" t="s">
        <v>1085</v>
      </c>
      <c r="BK4" s="28" t="s">
        <v>1101</v>
      </c>
      <c r="BL4" s="28" t="s">
        <v>1101</v>
      </c>
      <c r="BM4" s="8" t="s">
        <v>1101</v>
      </c>
      <c r="BN4" s="8" t="s">
        <v>1101</v>
      </c>
      <c r="BO4" s="8" t="s">
        <v>679</v>
      </c>
      <c r="BP4" s="28" t="s">
        <v>1079</v>
      </c>
      <c r="BQ4" s="31" t="s">
        <v>319</v>
      </c>
      <c r="BR4" s="8" t="s">
        <v>319</v>
      </c>
      <c r="BS4" s="8" t="s">
        <v>303</v>
      </c>
      <c r="BT4" s="8" t="s">
        <v>304</v>
      </c>
      <c r="BU4" s="8" t="s">
        <v>304</v>
      </c>
      <c r="BV4" s="8" t="s">
        <v>304</v>
      </c>
      <c r="BW4" s="29" t="s">
        <v>882</v>
      </c>
      <c r="BX4" s="29" t="s">
        <v>1143</v>
      </c>
      <c r="BY4" s="28" t="s">
        <v>1053</v>
      </c>
      <c r="BZ4" s="28" t="s">
        <v>805</v>
      </c>
      <c r="CA4" s="28" t="s">
        <v>1082</v>
      </c>
      <c r="CB4" s="28" t="s">
        <v>1083</v>
      </c>
      <c r="CC4" s="29" t="s">
        <v>23</v>
      </c>
      <c r="CD4" s="28" t="s">
        <v>26</v>
      </c>
      <c r="CE4" s="22" t="s">
        <v>605</v>
      </c>
      <c r="CF4" s="8" t="s">
        <v>9</v>
      </c>
      <c r="CG4" s="29" t="s">
        <v>1078</v>
      </c>
      <c r="CH4" s="22" t="s">
        <v>880</v>
      </c>
      <c r="CI4" s="22" t="s">
        <v>1390</v>
      </c>
      <c r="CJ4" s="8"/>
      <c r="CK4" s="8"/>
      <c r="CL4" s="8" t="s">
        <v>1073</v>
      </c>
      <c r="CM4" s="1" t="s">
        <v>305</v>
      </c>
    </row>
    <row r="5" spans="1:91" ht="12.75">
      <c r="A5" s="16"/>
      <c r="B5" s="16"/>
      <c r="C5" s="16"/>
      <c r="D5" s="16"/>
      <c r="E5" s="15"/>
      <c r="F5" s="26"/>
      <c r="G5" s="39"/>
      <c r="H5" s="3"/>
      <c r="I5" s="3"/>
      <c r="J5" s="16"/>
      <c r="K5" s="39"/>
      <c r="L5" s="15"/>
      <c r="M5" s="15"/>
      <c r="N5" s="4"/>
      <c r="O5" s="42"/>
      <c r="P5" s="42"/>
      <c r="Q5" s="42"/>
      <c r="R5" s="44" t="s">
        <v>1161</v>
      </c>
      <c r="S5" s="46" t="s">
        <v>1320</v>
      </c>
      <c r="T5" s="46" t="s">
        <v>1115</v>
      </c>
      <c r="U5" s="37" t="s">
        <v>8</v>
      </c>
      <c r="V5" s="37" t="s">
        <v>633</v>
      </c>
      <c r="W5" s="37" t="s">
        <v>633</v>
      </c>
      <c r="X5" s="37" t="s">
        <v>633</v>
      </c>
      <c r="Y5" s="1" t="s">
        <v>1161</v>
      </c>
      <c r="Z5" s="1" t="s">
        <v>1320</v>
      </c>
      <c r="AA5" s="1" t="s">
        <v>1115</v>
      </c>
      <c r="AB5" s="1" t="s">
        <v>8</v>
      </c>
      <c r="AC5" s="8" t="s">
        <v>1161</v>
      </c>
      <c r="AD5" s="1" t="s">
        <v>1320</v>
      </c>
      <c r="AE5" s="1" t="s">
        <v>1115</v>
      </c>
      <c r="AF5" s="1" t="s">
        <v>8</v>
      </c>
      <c r="AG5" s="8" t="s">
        <v>1161</v>
      </c>
      <c r="AH5" s="1" t="s">
        <v>1320</v>
      </c>
      <c r="AI5" s="1" t="s">
        <v>1115</v>
      </c>
      <c r="AJ5" s="12" t="s">
        <v>8</v>
      </c>
      <c r="AK5" s="29" t="s">
        <v>881</v>
      </c>
      <c r="AL5" s="29" t="s">
        <v>25</v>
      </c>
      <c r="AM5" s="29" t="s">
        <v>1161</v>
      </c>
      <c r="AN5" s="29" t="s">
        <v>1320</v>
      </c>
      <c r="AO5" s="29" t="s">
        <v>1115</v>
      </c>
      <c r="AP5" s="29" t="s">
        <v>8</v>
      </c>
      <c r="AQ5" s="29" t="s">
        <v>1161</v>
      </c>
      <c r="AR5" s="29" t="s">
        <v>1320</v>
      </c>
      <c r="AS5" s="29" t="s">
        <v>1115</v>
      </c>
      <c r="AT5" s="29" t="s">
        <v>8</v>
      </c>
      <c r="AU5" s="29" t="s">
        <v>25</v>
      </c>
      <c r="AV5" s="29" t="s">
        <v>25</v>
      </c>
      <c r="AW5" s="29" t="s">
        <v>27</v>
      </c>
      <c r="AX5" s="29" t="s">
        <v>25</v>
      </c>
      <c r="AY5" s="29" t="s">
        <v>25</v>
      </c>
      <c r="AZ5" s="29" t="s">
        <v>25</v>
      </c>
      <c r="BA5" s="29" t="s">
        <v>25</v>
      </c>
      <c r="BB5" s="29" t="s">
        <v>25</v>
      </c>
      <c r="BC5" s="29" t="s">
        <v>25</v>
      </c>
      <c r="BD5" s="29" t="s">
        <v>25</v>
      </c>
      <c r="BE5" s="29" t="s">
        <v>25</v>
      </c>
      <c r="BF5" s="29" t="s">
        <v>25</v>
      </c>
      <c r="BG5" s="29" t="s">
        <v>25</v>
      </c>
      <c r="BH5" s="28"/>
      <c r="BI5" s="28" t="s">
        <v>1084</v>
      </c>
      <c r="BJ5" s="28" t="s">
        <v>21</v>
      </c>
      <c r="BK5" s="28" t="s">
        <v>21</v>
      </c>
      <c r="BL5" s="28" t="s">
        <v>21</v>
      </c>
      <c r="BM5" s="8" t="s">
        <v>21</v>
      </c>
      <c r="BN5" s="8" t="s">
        <v>21</v>
      </c>
      <c r="BO5" s="8" t="s">
        <v>735</v>
      </c>
      <c r="BP5" s="8" t="s">
        <v>0</v>
      </c>
      <c r="BQ5" s="31" t="s">
        <v>1404</v>
      </c>
      <c r="BR5" s="8" t="s">
        <v>1404</v>
      </c>
      <c r="BS5" s="8" t="s">
        <v>320</v>
      </c>
      <c r="BT5" s="8" t="s">
        <v>883</v>
      </c>
      <c r="BU5" s="8" t="s">
        <v>10</v>
      </c>
      <c r="BV5" s="8" t="s">
        <v>321</v>
      </c>
      <c r="BW5" s="29" t="s">
        <v>1106</v>
      </c>
      <c r="BX5" s="29" t="s">
        <v>24</v>
      </c>
      <c r="BY5" s="28"/>
      <c r="BZ5" s="28"/>
      <c r="CA5" s="28" t="s">
        <v>881</v>
      </c>
      <c r="CB5" s="28" t="s">
        <v>22</v>
      </c>
      <c r="CC5" s="28" t="s">
        <v>38</v>
      </c>
      <c r="CD5" s="28" t="s">
        <v>38</v>
      </c>
      <c r="CE5" s="22" t="s">
        <v>366</v>
      </c>
      <c r="CF5" s="22" t="s">
        <v>945</v>
      </c>
      <c r="CG5" s="29" t="s">
        <v>1120</v>
      </c>
      <c r="CH5" s="22" t="s">
        <v>951</v>
      </c>
      <c r="CI5" s="22" t="s">
        <v>1090</v>
      </c>
      <c r="CJ5" s="8"/>
      <c r="CK5" s="1"/>
      <c r="CL5" s="1"/>
      <c r="CM5" s="1"/>
    </row>
    <row r="6" spans="1:91" ht="12.75">
      <c r="A6" s="14"/>
      <c r="B6" s="14"/>
      <c r="C6" s="14"/>
      <c r="D6" s="14"/>
      <c r="E6" s="17"/>
      <c r="F6" s="9"/>
      <c r="G6" s="17"/>
      <c r="H6" s="2"/>
      <c r="I6" s="2"/>
      <c r="J6" s="14"/>
      <c r="K6" s="17"/>
      <c r="L6" s="15"/>
      <c r="M6" s="15"/>
      <c r="N6" s="48"/>
      <c r="O6" s="43"/>
      <c r="P6" s="43"/>
      <c r="Q6" s="43"/>
      <c r="R6" s="44"/>
      <c r="S6" s="46"/>
      <c r="T6" s="46"/>
      <c r="U6" s="37"/>
      <c r="V6" s="37"/>
      <c r="W6" s="37"/>
      <c r="X6" s="37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2"/>
      <c r="AK6" s="29" t="s">
        <v>884</v>
      </c>
      <c r="AL6" s="29" t="s">
        <v>5</v>
      </c>
      <c r="AM6" s="29"/>
      <c r="AN6" s="29"/>
      <c r="AO6" s="29"/>
      <c r="AP6" s="29"/>
      <c r="AQ6" s="29"/>
      <c r="AR6" s="29"/>
      <c r="AS6" s="29"/>
      <c r="AT6" s="29"/>
      <c r="AU6" s="29" t="s">
        <v>633</v>
      </c>
      <c r="AV6" s="29" t="s">
        <v>633</v>
      </c>
      <c r="AW6" s="29" t="s">
        <v>633</v>
      </c>
      <c r="AX6" s="29" t="s">
        <v>633</v>
      </c>
      <c r="AY6" s="29" t="s">
        <v>633</v>
      </c>
      <c r="AZ6" s="29" t="s">
        <v>633</v>
      </c>
      <c r="BA6" s="29" t="s">
        <v>633</v>
      </c>
      <c r="BB6" s="29" t="s">
        <v>633</v>
      </c>
      <c r="BC6" s="29" t="s">
        <v>633</v>
      </c>
      <c r="BD6" s="29" t="s">
        <v>633</v>
      </c>
      <c r="BE6" s="29" t="s">
        <v>633</v>
      </c>
      <c r="BF6" s="29" t="s">
        <v>633</v>
      </c>
      <c r="BG6" s="29" t="s">
        <v>633</v>
      </c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29"/>
      <c r="BX6" s="1"/>
      <c r="BY6" s="28"/>
      <c r="BZ6" s="28"/>
      <c r="CA6" s="28"/>
      <c r="CB6" s="28"/>
      <c r="CC6" s="28"/>
      <c r="CD6" s="28"/>
      <c r="CE6" s="1"/>
      <c r="CF6" s="1"/>
      <c r="CG6" s="1"/>
      <c r="CH6" s="1"/>
      <c r="CI6" s="1"/>
      <c r="CJ6" s="1"/>
      <c r="CK6" s="1"/>
      <c r="CL6" s="1"/>
      <c r="CM6" s="1"/>
    </row>
    <row r="7" spans="1:107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27">
        <v>6</v>
      </c>
      <c r="G7" s="27">
        <v>7</v>
      </c>
      <c r="H7" s="27">
        <v>8</v>
      </c>
      <c r="I7" s="18">
        <v>9</v>
      </c>
      <c r="J7" s="27">
        <v>10</v>
      </c>
      <c r="K7" s="18">
        <v>11</v>
      </c>
      <c r="L7" s="27">
        <v>12</v>
      </c>
      <c r="M7" s="18">
        <v>13</v>
      </c>
      <c r="N7" s="47">
        <v>14</v>
      </c>
      <c r="O7" s="18">
        <v>15</v>
      </c>
      <c r="P7" s="27">
        <v>16</v>
      </c>
      <c r="Q7" s="27">
        <v>17</v>
      </c>
      <c r="R7" s="27">
        <v>18</v>
      </c>
      <c r="S7" s="18">
        <v>19</v>
      </c>
      <c r="T7" s="27">
        <v>20</v>
      </c>
      <c r="U7" s="18">
        <v>21</v>
      </c>
      <c r="V7" s="27">
        <v>22</v>
      </c>
      <c r="W7" s="18">
        <v>23</v>
      </c>
      <c r="X7" s="18">
        <v>24</v>
      </c>
      <c r="Y7" s="18">
        <v>25</v>
      </c>
      <c r="Z7" s="18">
        <v>26</v>
      </c>
      <c r="AA7" s="18">
        <v>26</v>
      </c>
      <c r="AB7" s="18">
        <v>27</v>
      </c>
      <c r="AC7" s="27">
        <v>28</v>
      </c>
      <c r="AD7" s="18">
        <v>29</v>
      </c>
      <c r="AE7" s="27">
        <v>30</v>
      </c>
      <c r="AF7" s="18">
        <v>31</v>
      </c>
      <c r="AG7" s="27">
        <v>32</v>
      </c>
      <c r="AH7" s="18">
        <v>33</v>
      </c>
      <c r="AI7" s="27">
        <v>34</v>
      </c>
      <c r="AJ7" s="18">
        <v>35</v>
      </c>
      <c r="AK7" s="27">
        <v>36</v>
      </c>
      <c r="AL7" s="18">
        <v>37</v>
      </c>
      <c r="AM7" s="27">
        <v>38</v>
      </c>
      <c r="AN7" s="18">
        <v>39</v>
      </c>
      <c r="AO7" s="18">
        <v>40</v>
      </c>
      <c r="AP7" s="27">
        <v>41</v>
      </c>
      <c r="AQ7" s="18">
        <v>42</v>
      </c>
      <c r="AR7" s="18">
        <v>43</v>
      </c>
      <c r="AS7" s="18">
        <v>44</v>
      </c>
      <c r="AT7" s="27">
        <v>45</v>
      </c>
      <c r="AU7" s="18">
        <v>46</v>
      </c>
      <c r="AV7" s="27">
        <v>47</v>
      </c>
      <c r="AW7" s="18">
        <v>48</v>
      </c>
      <c r="AX7" s="27">
        <v>49</v>
      </c>
      <c r="AY7" s="18">
        <v>50</v>
      </c>
      <c r="AZ7" s="27">
        <v>51</v>
      </c>
      <c r="BA7" s="18">
        <v>52</v>
      </c>
      <c r="BB7" s="27">
        <v>53</v>
      </c>
      <c r="BC7" s="18">
        <v>54</v>
      </c>
      <c r="BD7" s="27">
        <v>55</v>
      </c>
      <c r="BE7" s="18">
        <v>56</v>
      </c>
      <c r="BF7" s="18">
        <v>57</v>
      </c>
      <c r="BG7" s="18">
        <v>58</v>
      </c>
      <c r="BH7" s="18">
        <v>59</v>
      </c>
      <c r="BI7" s="18">
        <v>60</v>
      </c>
      <c r="BJ7" s="18">
        <v>61</v>
      </c>
      <c r="BK7" s="18">
        <v>62</v>
      </c>
      <c r="BL7" s="27">
        <v>63</v>
      </c>
      <c r="BM7" s="27">
        <v>64</v>
      </c>
      <c r="BN7" s="27">
        <v>65</v>
      </c>
      <c r="BO7" s="27">
        <v>66</v>
      </c>
      <c r="BP7" s="27">
        <v>67</v>
      </c>
      <c r="BQ7" s="27">
        <v>68</v>
      </c>
      <c r="BR7" s="27">
        <v>69</v>
      </c>
      <c r="BS7" s="27">
        <v>70</v>
      </c>
      <c r="BT7" s="27">
        <v>71</v>
      </c>
      <c r="BU7" s="27">
        <v>72</v>
      </c>
      <c r="BV7" s="27">
        <v>73</v>
      </c>
      <c r="BW7" s="27">
        <v>74</v>
      </c>
      <c r="BX7" s="27">
        <v>75</v>
      </c>
      <c r="BY7" s="27">
        <v>76</v>
      </c>
      <c r="BZ7" s="27">
        <v>77</v>
      </c>
      <c r="CA7" s="18">
        <v>78</v>
      </c>
      <c r="CB7" s="18">
        <v>79</v>
      </c>
      <c r="CC7" s="18">
        <v>80</v>
      </c>
      <c r="CD7" s="18">
        <v>81</v>
      </c>
      <c r="CE7" s="18">
        <v>82</v>
      </c>
      <c r="CF7" s="18">
        <v>83</v>
      </c>
      <c r="CG7" s="18">
        <v>84</v>
      </c>
      <c r="CH7" s="18">
        <v>85</v>
      </c>
      <c r="CI7" s="18">
        <v>86</v>
      </c>
      <c r="CJ7" s="18">
        <v>87</v>
      </c>
      <c r="CK7" s="18">
        <v>88</v>
      </c>
      <c r="CL7" s="18">
        <v>89</v>
      </c>
      <c r="CM7" s="18">
        <v>90</v>
      </c>
      <c r="CN7" s="18"/>
      <c r="CO7" s="27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9" spans="1:90" ht="12.75">
      <c r="A9" s="15">
        <v>1420</v>
      </c>
      <c r="B9" s="14" t="s">
        <v>952</v>
      </c>
      <c r="C9" s="14" t="s">
        <v>558</v>
      </c>
      <c r="D9" s="14" t="s">
        <v>256</v>
      </c>
      <c r="E9" s="14" t="s">
        <v>275</v>
      </c>
      <c r="F9" s="2" t="s">
        <v>104</v>
      </c>
      <c r="G9" s="2">
        <v>1</v>
      </c>
      <c r="H9" s="2" t="s">
        <v>1547</v>
      </c>
      <c r="I9" s="2" t="s">
        <v>720</v>
      </c>
      <c r="J9" s="14" t="s">
        <v>326</v>
      </c>
      <c r="K9" s="2" t="s">
        <v>1550</v>
      </c>
      <c r="L9" s="14" t="s">
        <v>1281</v>
      </c>
      <c r="M9" s="14" t="s">
        <v>1183</v>
      </c>
      <c r="N9" s="2" t="s">
        <v>537</v>
      </c>
      <c r="O9" s="10">
        <v>11</v>
      </c>
      <c r="P9" s="10"/>
      <c r="Q9" s="10"/>
      <c r="R9" s="9"/>
      <c r="S9" s="9"/>
      <c r="T9" s="9"/>
      <c r="U9" s="45">
        <v>1188</v>
      </c>
      <c r="V9" s="45">
        <v>108</v>
      </c>
      <c r="W9" s="23"/>
      <c r="X9" s="6">
        <v>9</v>
      </c>
      <c r="AB9" s="45"/>
      <c r="AC9">
        <v>99</v>
      </c>
      <c r="AD9">
        <v>0</v>
      </c>
      <c r="AE9">
        <v>0</v>
      </c>
      <c r="AF9" s="23">
        <v>99</v>
      </c>
      <c r="AG9">
        <v>9</v>
      </c>
      <c r="AH9">
        <v>0</v>
      </c>
      <c r="AI9">
        <v>0</v>
      </c>
      <c r="AJ9" s="23">
        <v>9</v>
      </c>
      <c r="AK9" s="23"/>
      <c r="AX9" s="23">
        <v>9</v>
      </c>
      <c r="BG9" s="7"/>
      <c r="BP9" s="34"/>
      <c r="BS9" s="21"/>
      <c r="BW9" s="20">
        <v>1188</v>
      </c>
      <c r="BX9" s="20">
        <v>108</v>
      </c>
      <c r="CJ9">
        <v>1420</v>
      </c>
      <c r="CK9" s="2" t="s">
        <v>1550</v>
      </c>
      <c r="CL9" t="s">
        <v>1010</v>
      </c>
    </row>
    <row r="11" spans="1:90" ht="12.75">
      <c r="A11" s="15">
        <v>1420</v>
      </c>
      <c r="B11" s="14" t="s">
        <v>1077</v>
      </c>
      <c r="C11" s="14" t="s">
        <v>558</v>
      </c>
      <c r="D11" s="14" t="s">
        <v>257</v>
      </c>
      <c r="E11" s="14" t="s">
        <v>280</v>
      </c>
      <c r="F11" s="2" t="s">
        <v>120</v>
      </c>
      <c r="G11" s="2">
        <v>1</v>
      </c>
      <c r="H11" s="2" t="s">
        <v>1547</v>
      </c>
      <c r="I11" s="2" t="s">
        <v>733</v>
      </c>
      <c r="J11" s="14" t="s">
        <v>326</v>
      </c>
      <c r="K11" s="2" t="s">
        <v>1549</v>
      </c>
      <c r="L11" s="14" t="s">
        <v>1543</v>
      </c>
      <c r="M11" s="14" t="s">
        <v>745</v>
      </c>
      <c r="N11" s="2" t="s">
        <v>1494</v>
      </c>
      <c r="O11" s="10">
        <v>8</v>
      </c>
      <c r="P11" s="10"/>
      <c r="Q11" s="10"/>
      <c r="R11" s="9"/>
      <c r="S11" s="9"/>
      <c r="T11" s="9"/>
      <c r="U11" s="45">
        <v>456</v>
      </c>
      <c r="V11" s="45">
        <v>57</v>
      </c>
      <c r="W11" s="23"/>
      <c r="X11" s="6">
        <v>4.75</v>
      </c>
      <c r="AB11" s="45"/>
      <c r="AF11" s="23">
        <v>38</v>
      </c>
      <c r="AG11">
        <v>4</v>
      </c>
      <c r="AH11">
        <v>15</v>
      </c>
      <c r="AI11">
        <v>0</v>
      </c>
      <c r="AJ11" s="23">
        <v>4.75</v>
      </c>
      <c r="AX11" s="23"/>
      <c r="BS11" s="21"/>
      <c r="BW11" s="20">
        <v>456</v>
      </c>
      <c r="BX11" s="20">
        <v>57</v>
      </c>
      <c r="CJ11">
        <v>1420</v>
      </c>
      <c r="CK11" s="2" t="s">
        <v>1549</v>
      </c>
      <c r="CL11" t="s">
        <v>16</v>
      </c>
    </row>
    <row r="12" spans="1:90" ht="12.75">
      <c r="A12" s="15">
        <v>1420</v>
      </c>
      <c r="B12" s="14" t="s">
        <v>1077</v>
      </c>
      <c r="C12" s="14" t="s">
        <v>558</v>
      </c>
      <c r="D12" s="14" t="s">
        <v>257</v>
      </c>
      <c r="E12" s="14" t="s">
        <v>280</v>
      </c>
      <c r="F12" s="2" t="s">
        <v>121</v>
      </c>
      <c r="G12" s="2">
        <v>1</v>
      </c>
      <c r="H12" s="2" t="s">
        <v>1547</v>
      </c>
      <c r="I12" s="2" t="s">
        <v>733</v>
      </c>
      <c r="J12" s="14" t="s">
        <v>326</v>
      </c>
      <c r="K12" s="2" t="s">
        <v>1549</v>
      </c>
      <c r="L12" s="14" t="s">
        <v>1543</v>
      </c>
      <c r="M12" s="14" t="s">
        <v>745</v>
      </c>
      <c r="N12" s="2" t="s">
        <v>1494</v>
      </c>
      <c r="O12" s="10">
        <v>3</v>
      </c>
      <c r="P12" s="10"/>
      <c r="Q12" s="10"/>
      <c r="R12" s="9"/>
      <c r="S12" s="9"/>
      <c r="T12" s="9"/>
      <c r="U12" s="45">
        <v>180</v>
      </c>
      <c r="V12" s="45">
        <v>60</v>
      </c>
      <c r="W12" s="23"/>
      <c r="X12" s="6">
        <v>5</v>
      </c>
      <c r="AB12" s="45"/>
      <c r="AF12" s="23">
        <v>15</v>
      </c>
      <c r="AG12">
        <v>5</v>
      </c>
      <c r="AH12">
        <v>0</v>
      </c>
      <c r="AI12">
        <v>0</v>
      </c>
      <c r="AJ12" s="23">
        <v>5</v>
      </c>
      <c r="BB12" s="23"/>
      <c r="BD12" s="7"/>
      <c r="BE12" s="19"/>
      <c r="BF12" s="19"/>
      <c r="BG12" s="23"/>
      <c r="BP12" s="34"/>
      <c r="BS12" s="21"/>
      <c r="BW12" s="20">
        <v>180</v>
      </c>
      <c r="BX12" s="20">
        <v>60</v>
      </c>
      <c r="CJ12">
        <v>1420</v>
      </c>
      <c r="CK12" s="2" t="s">
        <v>1549</v>
      </c>
      <c r="CL12" t="s">
        <v>1007</v>
      </c>
    </row>
    <row r="14" spans="1:90" ht="12.75">
      <c r="A14" s="15">
        <v>1422</v>
      </c>
      <c r="B14" s="14" t="s">
        <v>952</v>
      </c>
      <c r="C14" s="14" t="s">
        <v>558</v>
      </c>
      <c r="D14" s="14" t="s">
        <v>258</v>
      </c>
      <c r="E14" s="14" t="s">
        <v>282</v>
      </c>
      <c r="F14" s="2" t="s">
        <v>157</v>
      </c>
      <c r="G14" s="2">
        <v>1</v>
      </c>
      <c r="H14" s="2" t="s">
        <v>1547</v>
      </c>
      <c r="I14" s="2" t="s">
        <v>720</v>
      </c>
      <c r="J14" s="14" t="s">
        <v>326</v>
      </c>
      <c r="K14" s="2" t="s">
        <v>1550</v>
      </c>
      <c r="L14" s="14" t="s">
        <v>1281</v>
      </c>
      <c r="M14" s="14" t="s">
        <v>1183</v>
      </c>
      <c r="N14" s="2" t="s">
        <v>534</v>
      </c>
      <c r="O14" s="10">
        <v>11</v>
      </c>
      <c r="P14" s="10"/>
      <c r="Q14" s="10"/>
      <c r="R14" s="9"/>
      <c r="S14" s="9"/>
      <c r="T14" s="9"/>
      <c r="U14" s="45">
        <v>1155</v>
      </c>
      <c r="V14" s="45">
        <v>105</v>
      </c>
      <c r="W14" s="23"/>
      <c r="X14" s="6">
        <v>8.75</v>
      </c>
      <c r="AB14" s="45"/>
      <c r="AC14">
        <v>96</v>
      </c>
      <c r="AD14">
        <v>5</v>
      </c>
      <c r="AE14">
        <v>0</v>
      </c>
      <c r="AF14" s="23">
        <v>96.25</v>
      </c>
      <c r="AG14">
        <v>8</v>
      </c>
      <c r="AH14">
        <v>15</v>
      </c>
      <c r="AI14">
        <v>0</v>
      </c>
      <c r="AJ14" s="23">
        <v>8.75</v>
      </c>
      <c r="AU14" s="23">
        <v>8.75</v>
      </c>
      <c r="AV14" s="7"/>
      <c r="BC14" s="23"/>
      <c r="BP14" s="34"/>
      <c r="BS14" s="21"/>
      <c r="BW14" s="20">
        <v>1155</v>
      </c>
      <c r="BX14" s="20">
        <v>105</v>
      </c>
      <c r="CJ14">
        <v>1422</v>
      </c>
      <c r="CK14" s="2" t="s">
        <v>1550</v>
      </c>
      <c r="CL14" t="s">
        <v>1038</v>
      </c>
    </row>
    <row r="15" spans="1:90" ht="12.75">
      <c r="A15" s="15">
        <v>1422</v>
      </c>
      <c r="B15" s="14" t="s">
        <v>952</v>
      </c>
      <c r="C15" s="14" t="s">
        <v>558</v>
      </c>
      <c r="D15" s="14" t="s">
        <v>258</v>
      </c>
      <c r="E15" s="14" t="s">
        <v>282</v>
      </c>
      <c r="F15" s="2" t="s">
        <v>158</v>
      </c>
      <c r="G15" s="2">
        <v>1</v>
      </c>
      <c r="H15" s="2" t="s">
        <v>1547</v>
      </c>
      <c r="I15" s="2" t="s">
        <v>720</v>
      </c>
      <c r="J15" s="14" t="s">
        <v>326</v>
      </c>
      <c r="K15" s="2" t="s">
        <v>1550</v>
      </c>
      <c r="L15" s="14" t="s">
        <v>1281</v>
      </c>
      <c r="M15" s="14" t="s">
        <v>1183</v>
      </c>
      <c r="N15" s="2" t="s">
        <v>1427</v>
      </c>
      <c r="O15" s="10">
        <v>5</v>
      </c>
      <c r="P15" s="10"/>
      <c r="Q15" s="10"/>
      <c r="R15" s="9"/>
      <c r="S15" s="9"/>
      <c r="T15" s="9"/>
      <c r="U15" s="45">
        <v>525</v>
      </c>
      <c r="V15" s="45">
        <v>105</v>
      </c>
      <c r="W15" s="23"/>
      <c r="X15" s="6">
        <v>8.75</v>
      </c>
      <c r="AB15" s="45"/>
      <c r="AF15" s="23">
        <v>43.75</v>
      </c>
      <c r="AG15">
        <v>8</v>
      </c>
      <c r="AH15">
        <v>15</v>
      </c>
      <c r="AI15">
        <v>0</v>
      </c>
      <c r="AJ15" s="23">
        <v>8.75</v>
      </c>
      <c r="AU15" s="23">
        <v>8.75</v>
      </c>
      <c r="AV15" s="7"/>
      <c r="AY15" s="23">
        <v>8.75</v>
      </c>
      <c r="BP15" s="34"/>
      <c r="BS15" s="21"/>
      <c r="BW15" s="20">
        <v>525</v>
      </c>
      <c r="BX15" s="20">
        <v>105</v>
      </c>
      <c r="CJ15">
        <v>1422</v>
      </c>
      <c r="CK15" s="2" t="s">
        <v>1550</v>
      </c>
      <c r="CL15" t="s">
        <v>1036</v>
      </c>
    </row>
    <row r="16" spans="1:90" ht="12.75">
      <c r="A16" s="15">
        <v>1422</v>
      </c>
      <c r="B16" s="14" t="s">
        <v>952</v>
      </c>
      <c r="C16" s="14" t="s">
        <v>558</v>
      </c>
      <c r="D16" s="14" t="s">
        <v>258</v>
      </c>
      <c r="E16" s="14" t="s">
        <v>282</v>
      </c>
      <c r="F16" s="2" t="s">
        <v>160</v>
      </c>
      <c r="G16" s="2">
        <v>1</v>
      </c>
      <c r="H16" s="2" t="s">
        <v>1547</v>
      </c>
      <c r="I16" s="2" t="s">
        <v>1546</v>
      </c>
      <c r="J16" s="14" t="s">
        <v>326</v>
      </c>
      <c r="K16" s="2" t="s">
        <v>1552</v>
      </c>
      <c r="L16" s="14" t="s">
        <v>1543</v>
      </c>
      <c r="M16" s="14" t="s">
        <v>1107</v>
      </c>
      <c r="N16" s="2" t="s">
        <v>567</v>
      </c>
      <c r="O16" s="10">
        <v>1</v>
      </c>
      <c r="P16" s="10"/>
      <c r="Q16" s="10"/>
      <c r="R16" s="9"/>
      <c r="S16" s="9"/>
      <c r="T16" s="9"/>
      <c r="U16" s="45">
        <v>52.8</v>
      </c>
      <c r="V16" s="45">
        <v>52.8</v>
      </c>
      <c r="W16" s="23"/>
      <c r="X16" s="6">
        <v>4.4</v>
      </c>
      <c r="AB16" s="45"/>
      <c r="AC16">
        <v>4</v>
      </c>
      <c r="AD16">
        <v>8</v>
      </c>
      <c r="AE16">
        <v>0</v>
      </c>
      <c r="AF16" s="23">
        <v>4.4</v>
      </c>
      <c r="AG16">
        <v>4</v>
      </c>
      <c r="AH16">
        <v>8</v>
      </c>
      <c r="AI16">
        <v>0</v>
      </c>
      <c r="AJ16" s="23">
        <v>4.4</v>
      </c>
      <c r="AK16" s="23"/>
      <c r="AU16" s="7"/>
      <c r="AV16" s="7"/>
      <c r="AX16" s="23">
        <v>4.4</v>
      </c>
      <c r="BP16" s="34"/>
      <c r="BS16" s="21"/>
      <c r="BW16" s="20">
        <v>52.8</v>
      </c>
      <c r="BX16" s="20">
        <v>52.8</v>
      </c>
      <c r="CJ16">
        <v>1422</v>
      </c>
      <c r="CK16" s="2" t="s">
        <v>1552</v>
      </c>
      <c r="CL16" t="s">
        <v>1009</v>
      </c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7:DH2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7" width="13.7109375" style="0" customWidth="1"/>
    <col min="8" max="8" width="18.8515625" style="0" customWidth="1"/>
    <col min="9" max="9" width="47.28125" style="0" customWidth="1"/>
    <col min="10" max="10" width="13.7109375" style="0" customWidth="1"/>
    <col min="11" max="11" width="39.8515625" style="0" customWidth="1"/>
    <col min="12" max="21" width="13.710937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3.7109375" style="0" customWidth="1"/>
    <col min="33" max="36" width="14.28125" style="0" customWidth="1"/>
    <col min="37" max="38" width="13.7109375" style="0" customWidth="1"/>
    <col min="39" max="46" width="14.28125" style="0" customWidth="1"/>
    <col min="47" max="56" width="13.7109375" style="0" customWidth="1"/>
    <col min="57" max="57" width="10.140625" style="0" customWidth="1"/>
    <col min="58" max="58" width="8.8515625" style="0" customWidth="1"/>
    <col min="59" max="70" width="13.7109375" style="0" customWidth="1"/>
    <col min="71" max="71" width="13.8515625" style="0" customWidth="1"/>
    <col min="72" max="74" width="19.00390625" style="0" customWidth="1"/>
    <col min="75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8" width="13.7109375" style="0" customWidth="1"/>
    <col min="89" max="89" width="39.8515625" style="0" customWidth="1"/>
    <col min="90" max="90" width="169.140625" style="0" customWidth="1"/>
    <col min="91" max="91" width="12.7109375" style="0" customWidth="1"/>
  </cols>
  <sheetData>
    <row r="7" spans="1:112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</row>
    <row r="8" spans="1:112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</row>
    <row r="9" spans="1:112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</row>
    <row r="10" spans="1:1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</row>
    <row r="11" spans="1:1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</row>
    <row r="12" spans="1:112" ht="12.7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</row>
    <row r="24" spans="1:1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</sheetData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8.28125" style="0" customWidth="1"/>
    <col min="4" max="4" width="8.140625" style="0" customWidth="1"/>
    <col min="5" max="5" width="6.7109375" style="0" customWidth="1"/>
    <col min="6" max="6" width="8.8515625" style="0" customWidth="1"/>
    <col min="7" max="7" width="8.7109375" style="0" customWidth="1"/>
    <col min="8" max="8" width="12.8515625" style="0" customWidth="1"/>
    <col min="9" max="9" width="34.140625" style="0" customWidth="1"/>
    <col min="10" max="10" width="7.57421875" style="0" customWidth="1"/>
    <col min="11" max="11" width="20.00390625" style="0" customWidth="1"/>
    <col min="12" max="12" width="6.28125" style="0" customWidth="1"/>
    <col min="13" max="13" width="7.57421875" style="0" customWidth="1"/>
    <col min="14" max="14" width="12.28125" style="0" customWidth="1"/>
    <col min="15" max="15" width="9.421875" style="0" customWidth="1"/>
    <col min="16" max="16" width="8.7109375" style="0" customWidth="1"/>
    <col min="17" max="17" width="8.28125" style="0" customWidth="1"/>
    <col min="18" max="20" width="13.57421875" style="0" customWidth="1"/>
    <col min="21" max="21" width="12.8515625" style="0" customWidth="1"/>
    <col min="22" max="22" width="14.28125" style="0" customWidth="1"/>
    <col min="23" max="23" width="15.421875" style="0" customWidth="1"/>
    <col min="24" max="28" width="14.28125" style="0" customWidth="1"/>
    <col min="29" max="32" width="11.421875" style="0" customWidth="1"/>
    <col min="33" max="36" width="14.28125" style="0" customWidth="1"/>
    <col min="37" max="37" width="11.7109375" style="0" customWidth="1"/>
    <col min="38" max="38" width="13.00390625" style="0" customWidth="1"/>
    <col min="39" max="46" width="14.28125" style="0" customWidth="1"/>
    <col min="47" max="48" width="11.8515625" style="0" customWidth="1"/>
    <col min="49" max="49" width="12.57421875" style="0" customWidth="1"/>
    <col min="50" max="52" width="8.8515625" style="0" customWidth="1"/>
    <col min="53" max="53" width="12.57421875" style="0" customWidth="1"/>
    <col min="54" max="54" width="10.7109375" style="0" customWidth="1"/>
    <col min="55" max="55" width="8.8515625" style="0" customWidth="1"/>
    <col min="56" max="56" width="13.421875" style="0" customWidth="1"/>
    <col min="57" max="57" width="10.140625" style="0" customWidth="1"/>
    <col min="58" max="59" width="8.8515625" style="0" customWidth="1"/>
    <col min="60" max="60" width="9.28125" style="0" customWidth="1"/>
    <col min="61" max="61" width="8.8515625" style="0" customWidth="1"/>
    <col min="62" max="62" width="11.7109375" style="0" customWidth="1"/>
    <col min="63" max="63" width="13.28125" style="0" customWidth="1"/>
    <col min="64" max="64" width="8.421875" style="0" customWidth="1"/>
    <col min="65" max="65" width="9.8515625" style="0" customWidth="1"/>
    <col min="66" max="66" width="10.00390625" style="0" customWidth="1"/>
    <col min="67" max="67" width="9.8515625" style="0" customWidth="1"/>
    <col min="68" max="68" width="10.8515625" style="0" customWidth="1"/>
    <col min="69" max="69" width="7.8515625" style="0" customWidth="1"/>
    <col min="70" max="70" width="9.8515625" style="0" customWidth="1"/>
    <col min="71" max="71" width="15.00390625" style="0" customWidth="1"/>
    <col min="72" max="74" width="19.00390625" style="0" customWidth="1"/>
    <col min="75" max="75" width="9.28125" style="0" customWidth="1"/>
    <col min="76" max="76" width="9.8515625" style="0" customWidth="1"/>
    <col min="77" max="78" width="11.421875" style="0" customWidth="1"/>
    <col min="79" max="79" width="12.8515625" style="0" customWidth="1"/>
    <col min="80" max="80" width="13.7109375" style="0" customWidth="1"/>
    <col min="81" max="82" width="15.28125" style="0" customWidth="1"/>
    <col min="83" max="83" width="14.00390625" style="0" customWidth="1"/>
    <col min="84" max="84" width="19.7109375" style="0" customWidth="1"/>
    <col min="85" max="85" width="9.8515625" style="0" customWidth="1"/>
    <col min="86" max="86" width="13.140625" style="0" customWidth="1"/>
    <col min="87" max="87" width="13.00390625" style="0" customWidth="1"/>
    <col min="88" max="88" width="5.7109375" style="0" customWidth="1"/>
    <col min="89" max="89" width="21.00390625" style="0" customWidth="1"/>
    <col min="90" max="90" width="23.28125" style="0" customWidth="1"/>
    <col min="91" max="91" width="13.421875" style="0" customWidth="1"/>
  </cols>
  <sheetData/>
  <sheetProtection/>
  <printOptions/>
  <pageMargins left="0.75" right="0.75" top="1" bottom="1" header="0.5" footer="0.5"/>
  <pageSetup orientation="portrait" paperSize="9"/>
  <headerFooter>
    <oddHeader>&amp;L&amp;"Arial"&amp;10Symbols</oddHeader>
    <oddFooter>&amp;L&amp;"Arial"&amp;10Symbols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Munro</cp:lastModifiedBy>
  <dcterms:modified xsi:type="dcterms:W3CDTF">2008-07-29T18:40:01Z</dcterms:modified>
  <cp:category/>
  <cp:version/>
  <cp:contentType/>
  <cp:contentStatus/>
</cp:coreProperties>
</file>